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5480" windowHeight="11640" activeTab="3"/>
  </bookViews>
  <sheets>
    <sheet name="Formation" sheetId="1" r:id="rId1"/>
    <sheet name="AIR REFUEL" sheetId="2" r:id="rId2"/>
    <sheet name="Air Drop" sheetId="3" r:id="rId3"/>
    <sheet name="CoPilot" sheetId="4" r:id="rId4"/>
    <sheet name="TRANS" sheetId="5" r:id="rId5"/>
    <sheet name="Told &amp; COF" sheetId="6" r:id="rId6"/>
    <sheet name="COMM PLAN" sheetId="7" r:id="rId7"/>
  </sheets>
  <definedNames>
    <definedName name="_xlnm.Print_Area" localSheetId="2">'Air Drop'!$A$1:$Y$41</definedName>
    <definedName name="_xlnm.Print_Area" localSheetId="1">'AIR REFUEL'!$B$1:$P$40</definedName>
    <definedName name="_xlnm.Print_Area" localSheetId="3">'CoPilot'!$B$1:$P$39</definedName>
    <definedName name="_xlnm.Print_Area" localSheetId="4">'TRANS'!$B$1:$R$43</definedName>
  </definedNames>
  <calcPr fullCalcOnLoad="1"/>
</workbook>
</file>

<file path=xl/comments1.xml><?xml version="1.0" encoding="utf-8"?>
<comments xmlns="http://schemas.openxmlformats.org/spreadsheetml/2006/main">
  <authors>
    <author>allend</author>
    <author>jensenjt</author>
  </authors>
  <commentList>
    <comment ref="H6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Edit these, don't touch the rest!</t>
        </r>
      </text>
    </comment>
    <comment ref="G1" authorId="1">
      <text>
        <r>
          <rPr>
            <b/>
            <sz val="8"/>
            <rFont val="Tahoma"/>
            <family val="0"/>
          </rPr>
          <t>Fill this in and the rest will follow</t>
        </r>
      </text>
    </comment>
  </commentList>
</comments>
</file>

<file path=xl/comments2.xml><?xml version="1.0" encoding="utf-8"?>
<comments xmlns="http://schemas.openxmlformats.org/spreadsheetml/2006/main">
  <authors>
    <author>allend</author>
    <author>jensenjt</author>
  </authors>
  <commentList>
    <comment ref="G9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Edit these, don't touch the rest!</t>
        </r>
      </text>
    </comment>
    <comment ref="G1" authorId="1">
      <text>
        <r>
          <rPr>
            <sz val="8"/>
            <rFont val="Tahoma"/>
            <family val="0"/>
          </rPr>
          <t xml:space="preserve">FILL this in and the rest will follow.
</t>
        </r>
      </text>
    </comment>
  </commentList>
</comments>
</file>

<file path=xl/comments3.xml><?xml version="1.0" encoding="utf-8"?>
<comments xmlns="http://schemas.openxmlformats.org/spreadsheetml/2006/main">
  <authors>
    <author>allend</author>
  </authors>
  <commentList>
    <comment ref="P7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Edit these, don't touch the rest!</t>
        </r>
      </text>
    </comment>
  </commentList>
</comments>
</file>

<file path=xl/comments4.xml><?xml version="1.0" encoding="utf-8"?>
<comments xmlns="http://schemas.openxmlformats.org/spreadsheetml/2006/main">
  <authors>
    <author>allend</author>
  </authors>
  <commentList>
    <comment ref="G8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Edit these, don't touch the rest!</t>
        </r>
      </text>
    </comment>
  </commentList>
</comments>
</file>

<file path=xl/comments5.xml><?xml version="1.0" encoding="utf-8"?>
<comments xmlns="http://schemas.openxmlformats.org/spreadsheetml/2006/main">
  <authors>
    <author>allend</author>
  </authors>
  <commentList>
    <comment ref="F8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F9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</commentList>
</comments>
</file>

<file path=xl/comments6.xml><?xml version="1.0" encoding="utf-8"?>
<comments xmlns="http://schemas.openxmlformats.org/spreadsheetml/2006/main">
  <authors>
    <author>allend</author>
  </authors>
  <commentList>
    <comment ref="A5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A6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  <comment ref="A29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A30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  <comment ref="A44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A45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  <comment ref="A33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Vr calculated for 9000' rwy DRY/WET</t>
        </r>
      </text>
    </comment>
    <comment ref="A48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Vr calculated for 9000' rwy DRY/WET</t>
        </r>
      </text>
    </comment>
    <comment ref="H29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H30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  <comment ref="H33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Vr calculated for 9000' rwy DRY/WET</t>
        </r>
      </text>
    </comment>
    <comment ref="H44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COF based on IFG Tab Data of 10F 400' retraction</t>
        </r>
      </text>
    </comment>
    <comment ref="H45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All field lengths computed for dry runways</t>
        </r>
      </text>
    </comment>
    <comment ref="H48" authorId="0">
      <text>
        <r>
          <rPr>
            <b/>
            <sz val="8"/>
            <rFont val="Tahoma"/>
            <family val="0"/>
          </rPr>
          <t>allend:</t>
        </r>
        <r>
          <rPr>
            <sz val="8"/>
            <rFont val="Tahoma"/>
            <family val="0"/>
          </rPr>
          <t xml:space="preserve">
Vr calculated for 9000' rwy DRY/WET</t>
        </r>
      </text>
    </comment>
  </commentList>
</comments>
</file>

<file path=xl/sharedStrings.xml><?xml version="1.0" encoding="utf-8"?>
<sst xmlns="http://schemas.openxmlformats.org/spreadsheetml/2006/main" count="671" uniqueCount="346">
  <si>
    <t>CALL SIGN</t>
  </si>
  <si>
    <t>TRT</t>
  </si>
  <si>
    <t>MCT</t>
  </si>
  <si>
    <t>COF</t>
  </si>
  <si>
    <t>CFL</t>
  </si>
  <si>
    <t>Vcef</t>
  </si>
  <si>
    <t>Vbmax</t>
  </si>
  <si>
    <t>Vrot</t>
  </si>
  <si>
    <t>Vco</t>
  </si>
  <si>
    <t>S1</t>
  </si>
  <si>
    <t>Vr</t>
  </si>
  <si>
    <t>TOLD</t>
  </si>
  <si>
    <t>STEP</t>
  </si>
  <si>
    <t>T/O</t>
  </si>
  <si>
    <t>TAIL#</t>
  </si>
  <si>
    <t>MOA1</t>
  </si>
  <si>
    <t>MOA2</t>
  </si>
  <si>
    <t>PTN1</t>
  </si>
  <si>
    <t>PTN2</t>
  </si>
  <si>
    <t xml:space="preserve"> TRANSITION MISSION DATA </t>
  </si>
  <si>
    <t>TIMELINE</t>
  </si>
  <si>
    <t>BINGO</t>
  </si>
  <si>
    <t>LEFT</t>
  </si>
  <si>
    <t>RIGHT</t>
  </si>
  <si>
    <t>JUMP</t>
  </si>
  <si>
    <t>TEMP</t>
  </si>
  <si>
    <t>PA</t>
  </si>
  <si>
    <t>WINDS</t>
  </si>
  <si>
    <r>
      <t>NOTES:</t>
    </r>
    <r>
      <rPr>
        <sz val="8"/>
        <rFont val="Arial"/>
        <family val="2"/>
      </rPr>
      <t xml:space="preserve">   Scheduled MOA time:</t>
    </r>
  </si>
  <si>
    <t>PUBS #</t>
  </si>
  <si>
    <t>CHOCKS</t>
  </si>
  <si>
    <t>ATIS -</t>
  </si>
  <si>
    <t>CLEARANCE</t>
  </si>
  <si>
    <t>DOH</t>
  </si>
  <si>
    <t>END</t>
  </si>
  <si>
    <t>CSM</t>
  </si>
  <si>
    <t>FLIGHT</t>
  </si>
  <si>
    <t xml:space="preserve">ARRIVE </t>
  </si>
  <si>
    <t>AMA</t>
  </si>
  <si>
    <t>RWY</t>
  </si>
  <si>
    <t>G.A. N1</t>
  </si>
  <si>
    <t>REF zero</t>
  </si>
  <si>
    <t>IAB</t>
  </si>
  <si>
    <t>FOE</t>
  </si>
  <si>
    <t>OKC</t>
  </si>
  <si>
    <t>TUL</t>
  </si>
  <si>
    <t># END</t>
  </si>
  <si>
    <t>Mission objectives:</t>
  </si>
  <si>
    <t>COFR</t>
  </si>
  <si>
    <t>1500 profile 10F</t>
  </si>
  <si>
    <t>T&amp;G DATA</t>
  </si>
  <si>
    <t>1. A/S +- 10 Alt +-100</t>
  </si>
  <si>
    <t>2. Maintain Aimpoint on final</t>
  </si>
  <si>
    <t>3. Exact Pitch settings with manuevers</t>
  </si>
  <si>
    <t xml:space="preserve"> </t>
  </si>
  <si>
    <t>Notes</t>
  </si>
  <si>
    <t>F10 ACM OFF 16,100 lbs PA 1500</t>
  </si>
  <si>
    <t>F10 ACM ON 16,100 lbs PA 1500</t>
  </si>
  <si>
    <t>F10 ACM OFF 16,100 lbs PA 1000</t>
  </si>
  <si>
    <t>tof</t>
  </si>
  <si>
    <t>144/123</t>
  </si>
  <si>
    <t>142/120</t>
  </si>
  <si>
    <t>138/114</t>
  </si>
  <si>
    <t>134/113</t>
  </si>
  <si>
    <t>152/131</t>
  </si>
  <si>
    <t>150/128</t>
  </si>
  <si>
    <t>136/114</t>
  </si>
  <si>
    <t>143/121</t>
  </si>
  <si>
    <t>F0 ACM OFF 16,100 lbs PA 1500</t>
  </si>
  <si>
    <t>F0 ACM OFF 16,100 lbs PA 1000</t>
  </si>
  <si>
    <t>SLN</t>
  </si>
  <si>
    <t>XNA</t>
  </si>
  <si>
    <t>FORMATION MISSION DATA</t>
  </si>
  <si>
    <t>A/A TACAN</t>
  </si>
  <si>
    <t>STEP(L):</t>
  </si>
  <si>
    <t>INTERPLANE</t>
  </si>
  <si>
    <t xml:space="preserve">            TOLD</t>
  </si>
  <si>
    <t>CHECK IN(L):</t>
  </si>
  <si>
    <t>UHF:</t>
  </si>
  <si>
    <t>T/O(L):</t>
  </si>
  <si>
    <t>VHF:</t>
  </si>
  <si>
    <t>PROFILE</t>
  </si>
  <si>
    <t>WING</t>
  </si>
  <si>
    <t>LEAD</t>
  </si>
  <si>
    <t xml:space="preserve"> L      S      R</t>
  </si>
  <si>
    <t>□ □ □</t>
  </si>
  <si>
    <t>Practice Lost Wingman</t>
  </si>
  <si>
    <t>Rejoin</t>
  </si>
  <si>
    <t>Breakout</t>
  </si>
  <si>
    <t>REF Zero</t>
  </si>
  <si>
    <t>□    □</t>
  </si>
  <si>
    <t>Cell Turns</t>
  </si>
  <si>
    <t>Offset</t>
  </si>
  <si>
    <t>10º</t>
  </si>
  <si>
    <t>0º</t>
  </si>
  <si>
    <t>NOTES</t>
  </si>
  <si>
    <t>Mission Objectives:</t>
  </si>
  <si>
    <t>ACT</t>
  </si>
  <si>
    <t>1,293'</t>
  </si>
  <si>
    <t>&lt;35</t>
  </si>
  <si>
    <t>KTAS</t>
  </si>
  <si>
    <t>Time (sec)</t>
  </si>
  <si>
    <t>CSM (15000#/2000')</t>
  </si>
  <si>
    <t>1,178'</t>
  </si>
  <si>
    <t>4.9/3.3</t>
  </si>
  <si>
    <t>&lt;19/32</t>
  </si>
  <si>
    <t>Contingencies</t>
  </si>
  <si>
    <t>Simple</t>
  </si>
  <si>
    <t>Compound</t>
  </si>
  <si>
    <t>VMC</t>
  </si>
  <si>
    <t>IMC</t>
  </si>
  <si>
    <t>CHEEK/HARMS</t>
  </si>
  <si>
    <t>VANCE AFB/32 FTS/OCT 02</t>
  </si>
  <si>
    <t>AIR DROP MISSION DATA</t>
  </si>
  <si>
    <t>TAIL</t>
  </si>
  <si>
    <t>A/A TAC</t>
  </si>
  <si>
    <t>STEP:</t>
  </si>
  <si>
    <t>CHECK IN:</t>
  </si>
  <si>
    <t>TEMP:</t>
  </si>
  <si>
    <t>CTO:</t>
  </si>
  <si>
    <t>PA:</t>
  </si>
  <si>
    <t>ENTRY</t>
  </si>
  <si>
    <t>ROUTE DATA</t>
  </si>
  <si>
    <t>WINDS:</t>
  </si>
  <si>
    <t>CHOCK:</t>
  </si>
  <si>
    <t>ROUTE:</t>
  </si>
  <si>
    <t>TRT:</t>
  </si>
  <si>
    <t>TARGET#1</t>
  </si>
  <si>
    <t>TARGET#2</t>
  </si>
  <si>
    <t>ENTRY RAD/DME:</t>
  </si>
  <si>
    <t>MCT:</t>
  </si>
  <si>
    <t>EXIT RAD/DME:</t>
  </si>
  <si>
    <t>DROP #1:</t>
  </si>
  <si>
    <t>CFL:</t>
  </si>
  <si>
    <t>SLOWDOWN:</t>
  </si>
  <si>
    <t>REF Zero:</t>
  </si>
  <si>
    <t>SD</t>
  </si>
  <si>
    <t>TOT #1:</t>
  </si>
  <si>
    <t>Vcef:</t>
  </si>
  <si>
    <t>DROP ALTITUDE:</t>
  </si>
  <si>
    <t>Vr:</t>
  </si>
  <si>
    <t>30 prior</t>
  </si>
  <si>
    <t>ESCAPE:</t>
  </si>
  <si>
    <t>Vbmax:</t>
  </si>
  <si>
    <t>DROP #2:</t>
  </si>
  <si>
    <t>Vrot:</t>
  </si>
  <si>
    <t>Vco:</t>
  </si>
  <si>
    <t>TOT #2:</t>
  </si>
  <si>
    <t>S1:</t>
  </si>
  <si>
    <t>IP</t>
  </si>
  <si>
    <t>TIMELINE:</t>
  </si>
  <si>
    <t>Mission Objectives</t>
  </si>
  <si>
    <t>CHECKLISTS</t>
  </si>
  <si>
    <t>LL  ENTRY</t>
  </si>
  <si>
    <t>2.  TOT +/- 1 min</t>
  </si>
  <si>
    <t>CRUISE</t>
  </si>
  <si>
    <t>LL EXIT</t>
  </si>
  <si>
    <t>CELL</t>
  </si>
  <si>
    <t>CLIMB</t>
  </si>
  <si>
    <t>SEC</t>
  </si>
  <si>
    <t>MANEUVERS</t>
  </si>
  <si>
    <t>BO</t>
  </si>
  <si>
    <t>□</t>
  </si>
  <si>
    <t>CONTINGENCIES</t>
  </si>
  <si>
    <t>CLIMBOUT FACTOR</t>
  </si>
  <si>
    <t>ST RJ</t>
  </si>
  <si>
    <t>SIMPLE</t>
  </si>
  <si>
    <t>COMPLEX</t>
  </si>
  <si>
    <t>Req</t>
  </si>
  <si>
    <t>Act</t>
  </si>
  <si>
    <t>PLW</t>
  </si>
  <si>
    <t>T RJ</t>
  </si>
  <si>
    <t>VANCE AFB/32 FTS/AUG 05</t>
  </si>
  <si>
    <r>
      <t xml:space="preserve">CSM  </t>
    </r>
    <r>
      <rPr>
        <sz val="5"/>
        <rFont val="Arial"/>
        <family val="2"/>
      </rPr>
      <t>(1500#/2000')</t>
    </r>
    <r>
      <rPr>
        <sz val="8"/>
        <rFont val="Arial"/>
        <family val="2"/>
      </rPr>
      <t xml:space="preserve">  </t>
    </r>
  </si>
  <si>
    <t>COFr</t>
  </si>
  <si>
    <t>30º</t>
  </si>
  <si>
    <t>8 mi. (END)</t>
  </si>
  <si>
    <t>15 mi (CSM)</t>
  </si>
  <si>
    <t>3 deg (CSM)\</t>
  </si>
  <si>
    <t>HVY LDG 30F</t>
  </si>
  <si>
    <t xml:space="preserve">BINGO: 1000lbs (inner MOA)/1100lbs (middle)/1200lbs (outer) </t>
  </si>
  <si>
    <t>2. IRT &lt;= 5</t>
  </si>
  <si>
    <t>3. Turning rejoin within 270-360</t>
  </si>
  <si>
    <t>F10 ACM ON 16,100 lbs PA 1000</t>
  </si>
  <si>
    <t>PAIN</t>
  </si>
  <si>
    <t>AQUA</t>
  </si>
  <si>
    <t>DRAWN</t>
  </si>
  <si>
    <t>DARTR</t>
  </si>
  <si>
    <t>DEXTR</t>
  </si>
  <si>
    <t>EVEN</t>
  </si>
  <si>
    <t>TORA</t>
  </si>
  <si>
    <t>SLEEP</t>
  </si>
  <si>
    <t>LODED</t>
  </si>
  <si>
    <t>VHF</t>
  </si>
  <si>
    <t>UHF</t>
  </si>
  <si>
    <t>A/A HIGH</t>
  </si>
  <si>
    <t>A/A LOW</t>
  </si>
  <si>
    <t>Form Call Plan</t>
  </si>
  <si>
    <t>0830L / 1430Z</t>
  </si>
  <si>
    <t>0730L / 1330Z</t>
  </si>
  <si>
    <t>0810L / 1410Z</t>
  </si>
  <si>
    <t xml:space="preserve"> Chock 1200L / 1800Z</t>
  </si>
  <si>
    <t>Martin</t>
  </si>
  <si>
    <t>Walker</t>
  </si>
  <si>
    <t>Puccia</t>
  </si>
  <si>
    <t>Teeter</t>
  </si>
  <si>
    <t>Drenkow</t>
  </si>
  <si>
    <t>Walborn</t>
  </si>
  <si>
    <t>1. Get maneuvers up to MIF</t>
  </si>
  <si>
    <t>COF:</t>
  </si>
  <si>
    <t xml:space="preserve"> A/R  MISSION DATA </t>
  </si>
  <si>
    <t>TRACK</t>
  </si>
  <si>
    <t>BLOCK TIME</t>
  </si>
  <si>
    <t>ARCT</t>
  </si>
  <si>
    <t>BLOCK ALT</t>
  </si>
  <si>
    <t>A/R FREQ</t>
  </si>
  <si>
    <t>REFUEL ALT</t>
  </si>
  <si>
    <t xml:space="preserve">              TANKER</t>
  </si>
  <si>
    <t>ARCP</t>
  </si>
  <si>
    <t xml:space="preserve">KIAS </t>
  </si>
  <si>
    <t xml:space="preserve">KTAS </t>
  </si>
  <si>
    <t xml:space="preserve">             RECEIVER</t>
  </si>
  <si>
    <t xml:space="preserve">KIAS   </t>
  </si>
  <si>
    <t>TURN RANGE</t>
  </si>
  <si>
    <t>OFFSET</t>
  </si>
  <si>
    <t>TIMING</t>
  </si>
  <si>
    <t xml:space="preserve">    ________________________________________________________</t>
  </si>
  <si>
    <t>MISSION OBJECTIVES</t>
  </si>
  <si>
    <t>COMPOUND</t>
  </si>
  <si>
    <t>DOH (REQ)</t>
  </si>
  <si>
    <t>1,293' (2.5)</t>
  </si>
  <si>
    <t>CSM (15000#)</t>
  </si>
  <si>
    <t>1,178' (4.9/3.3)</t>
  </si>
  <si>
    <r>
      <t xml:space="preserve">BO        </t>
    </r>
    <r>
      <rPr>
        <sz val="14"/>
        <rFont val="Arial"/>
        <family val="2"/>
      </rPr>
      <t>□</t>
    </r>
  </si>
  <si>
    <r>
      <t xml:space="preserve">ST RJ    </t>
    </r>
    <r>
      <rPr>
        <sz val="14"/>
        <rFont val="Arial"/>
        <family val="2"/>
      </rPr>
      <t>□</t>
    </r>
  </si>
  <si>
    <r>
      <t xml:space="preserve">PLW      </t>
    </r>
    <r>
      <rPr>
        <sz val="14"/>
        <rFont val="Arial"/>
        <family val="2"/>
      </rPr>
      <t>□</t>
    </r>
  </si>
  <si>
    <r>
      <t xml:space="preserve">TN RJ    </t>
    </r>
    <r>
      <rPr>
        <sz val="14"/>
        <rFont val="Arial"/>
        <family val="2"/>
      </rPr>
      <t>□</t>
    </r>
  </si>
  <si>
    <r>
      <t xml:space="preserve">CELL     </t>
    </r>
    <r>
      <rPr>
        <sz val="14"/>
        <rFont val="Arial"/>
        <family val="2"/>
      </rPr>
      <t>□</t>
    </r>
  </si>
  <si>
    <t>8 mi (END)</t>
  </si>
  <si>
    <t>Jensen</t>
  </si>
  <si>
    <t>Allen</t>
  </si>
  <si>
    <t>1. Effiecient lead change</t>
  </si>
  <si>
    <t>COMM PLAN</t>
  </si>
  <si>
    <t>Closure</t>
  </si>
  <si>
    <t>Dextr</t>
  </si>
  <si>
    <t>1000 light cof</t>
  </si>
  <si>
    <t>1000 light CFL</t>
  </si>
  <si>
    <t>1000 light REF ZERO</t>
  </si>
  <si>
    <t>1000 light CEF</t>
  </si>
  <si>
    <t>1000 light Vbmax</t>
  </si>
  <si>
    <t>1000 light Vrot</t>
  </si>
  <si>
    <t>1000 light Vco</t>
  </si>
  <si>
    <t>1000 light S1</t>
  </si>
  <si>
    <t>HVY LND 0F</t>
  </si>
  <si>
    <t>1000 light land dist 0F</t>
  </si>
  <si>
    <t>Birds</t>
  </si>
  <si>
    <t>Vance</t>
  </si>
  <si>
    <t>HVY LDG 0F:</t>
  </si>
  <si>
    <t>HVY LDG 0F</t>
  </si>
  <si>
    <t>Turbulence</t>
  </si>
  <si>
    <t>MOD</t>
  </si>
  <si>
    <t>After T/O</t>
  </si>
  <si>
    <t>15 mi. (CSM/TUL)</t>
  </si>
  <si>
    <t>3 deg (CSM/TUL)</t>
  </si>
  <si>
    <t>Rowland</t>
  </si>
  <si>
    <t>Burke</t>
  </si>
  <si>
    <t>ICT</t>
  </si>
  <si>
    <t>BINGO: LL - 1200 # (KEND)/MOA - 1800# to SLN  CHOCK 1651L</t>
  </si>
  <si>
    <r>
      <t>NOTES:</t>
    </r>
    <r>
      <rPr>
        <sz val="8"/>
        <rFont val="Arial"/>
        <family val="2"/>
      </rPr>
      <t xml:space="preserve"> MVA = 3000M TIL 25DME THEN 3800M, SUNRISE = 1330Z, T/O NLT TIME = 1625Z</t>
    </r>
  </si>
  <si>
    <t>COFa</t>
  </si>
  <si>
    <t>1651L / 2251Z</t>
  </si>
  <si>
    <t>1000L / 1600Z</t>
  </si>
  <si>
    <t>0900L / 1500Z</t>
  </si>
  <si>
    <t>FORM</t>
  </si>
  <si>
    <t>A/R</t>
  </si>
  <si>
    <t>8 mi  END</t>
  </si>
  <si>
    <t>3. A82XX Special Syllabus Wing T/O</t>
  </si>
  <si>
    <t>IR 171</t>
  </si>
  <si>
    <t>1035L / 1635Z</t>
  </si>
  <si>
    <t>1025L / 1625Z</t>
  </si>
  <si>
    <t>END 233/23</t>
  </si>
  <si>
    <t>END 282/27</t>
  </si>
  <si>
    <t>13+28</t>
  </si>
  <si>
    <t>16+43</t>
  </si>
  <si>
    <t>16+13</t>
  </si>
  <si>
    <t>18+12</t>
  </si>
  <si>
    <t>36+09</t>
  </si>
  <si>
    <t>37+56</t>
  </si>
  <si>
    <t>37+26</t>
  </si>
  <si>
    <t>39+25</t>
  </si>
  <si>
    <t>16:51:43</t>
  </si>
  <si>
    <t>16:53:12</t>
  </si>
  <si>
    <t>16:53:27</t>
  </si>
  <si>
    <t>17:12:56</t>
  </si>
  <si>
    <t>17:14:25</t>
  </si>
  <si>
    <t>17:14:40</t>
  </si>
  <si>
    <t>MIOD</t>
  </si>
  <si>
    <t>LOW/MOD</t>
  </si>
  <si>
    <t>1000A / 3100M</t>
  </si>
  <si>
    <t>1000A / 2300M</t>
  </si>
  <si>
    <t>Ext. ARIP</t>
  </si>
  <si>
    <t>2000Z</t>
  </si>
  <si>
    <t>2000Z-2130Z</t>
  </si>
  <si>
    <t>1930Z</t>
  </si>
  <si>
    <t>394.9 P</t>
  </si>
  <si>
    <t>384.6 S</t>
  </si>
  <si>
    <t>GAG 080/40</t>
  </si>
  <si>
    <t>GAG 080/100</t>
  </si>
  <si>
    <t>AR-669</t>
  </si>
  <si>
    <t>250-270</t>
  </si>
  <si>
    <t>15 mi. TIK/CSM</t>
  </si>
  <si>
    <t>3 deg TIK/CSM</t>
  </si>
  <si>
    <t>TIK</t>
  </si>
  <si>
    <t>Drift</t>
  </si>
  <si>
    <t>BINGO: 1200# (OUT MOA to END)</t>
  </si>
  <si>
    <t>Shelton</t>
  </si>
  <si>
    <t>Herner</t>
  </si>
  <si>
    <t>Schulen</t>
  </si>
  <si>
    <t>2035Z</t>
  </si>
  <si>
    <t>ARCT: 2035Z</t>
  </si>
  <si>
    <t>ARIP: 2025Z</t>
  </si>
  <si>
    <t>15 MIN: 2020Z</t>
  </si>
  <si>
    <t>CHOCK: 1645L</t>
  </si>
  <si>
    <t>SWO</t>
  </si>
  <si>
    <t>1. Relax</t>
  </si>
  <si>
    <t>2. Enjoy the View</t>
  </si>
  <si>
    <t>3. Pass the Check Ride</t>
  </si>
  <si>
    <t>270/65</t>
  </si>
  <si>
    <t>+5</t>
  </si>
  <si>
    <t>0 Drift</t>
  </si>
  <si>
    <t>Sunrise: 0725L</t>
  </si>
  <si>
    <t xml:space="preserve">CoPilot  MISSION DATA </t>
  </si>
  <si>
    <t>ATIS</t>
  </si>
  <si>
    <t>Speck 88</t>
  </si>
  <si>
    <t>Vinson</t>
  </si>
  <si>
    <t>Scheulen</t>
  </si>
  <si>
    <t>Chock</t>
  </si>
  <si>
    <t>CWF</t>
  </si>
  <si>
    <t>Severe</t>
  </si>
  <si>
    <t>BINGO:</t>
  </si>
  <si>
    <t>Sunrise: 0720L</t>
  </si>
  <si>
    <t>Sunset: 1812L</t>
  </si>
  <si>
    <t>1) Have fun</t>
  </si>
  <si>
    <t>2) Consice Radio Calls</t>
  </si>
  <si>
    <t>Clearance:</t>
  </si>
  <si>
    <t>3)  Finish the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</si>
</sst>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1">
      <alignment/>
      <protection/>
    </xf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2" borderId="24" xfId="21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3" fillId="0" borderId="30" xfId="21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6" fillId="0" borderId="9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 quotePrefix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164" fontId="3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21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43" xfId="21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right" vertical="center"/>
      <protection/>
    </xf>
    <xf numFmtId="0" fontId="3" fillId="0" borderId="44" xfId="2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64" fontId="3" fillId="0" borderId="39" xfId="21" applyNumberFormat="1" applyFont="1" applyFill="1" applyBorder="1" applyAlignment="1" applyProtection="1">
      <alignment horizontal="center" vertical="center"/>
      <protection/>
    </xf>
    <xf numFmtId="164" fontId="3" fillId="0" borderId="32" xfId="2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164" fontId="3" fillId="0" borderId="45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1" fontId="3" fillId="0" borderId="39" xfId="21" applyNumberFormat="1" applyFont="1" applyFill="1" applyBorder="1" applyAlignment="1" applyProtection="1">
      <alignment horizontal="center" vertical="center"/>
      <protection/>
    </xf>
    <xf numFmtId="1" fontId="3" fillId="0" borderId="45" xfId="21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1" fontId="3" fillId="0" borderId="47" xfId="21" applyNumberFormat="1" applyFont="1" applyFill="1" applyBorder="1" applyAlignment="1" applyProtection="1">
      <alignment horizontal="center" vertical="center"/>
      <protection/>
    </xf>
    <xf numFmtId="0" fontId="3" fillId="0" borderId="9" xfId="21" applyFont="1" applyBorder="1" applyAlignment="1" applyProtection="1">
      <alignment vertical="center"/>
      <protection/>
    </xf>
    <xf numFmtId="0" fontId="3" fillId="0" borderId="23" xfId="21" applyNumberFormat="1" applyFont="1" applyBorder="1" applyAlignment="1" applyProtection="1">
      <alignment horizontal="center" vertical="center"/>
      <protection/>
    </xf>
    <xf numFmtId="0" fontId="3" fillId="0" borderId="43" xfId="21" applyNumberFormat="1" applyFont="1" applyBorder="1" applyAlignment="1" applyProtection="1">
      <alignment horizontal="center" vertical="center"/>
      <protection/>
    </xf>
    <xf numFmtId="0" fontId="3" fillId="0" borderId="28" xfId="21" applyFont="1" applyBorder="1" applyAlignment="1" applyProtection="1">
      <alignment vertical="center"/>
      <protection/>
    </xf>
    <xf numFmtId="0" fontId="3" fillId="0" borderId="13" xfId="21" applyNumberFormat="1" applyFont="1" applyBorder="1" applyAlignment="1" applyProtection="1">
      <alignment horizontal="center" vertical="center"/>
      <protection/>
    </xf>
    <xf numFmtId="0" fontId="3" fillId="0" borderId="48" xfId="21" applyNumberFormat="1" applyFont="1" applyBorder="1" applyAlignment="1" applyProtection="1">
      <alignment horizontal="center" vertical="center"/>
      <protection/>
    </xf>
    <xf numFmtId="0" fontId="3" fillId="0" borderId="12" xfId="21" applyFont="1" applyBorder="1" applyAlignment="1" applyProtection="1">
      <alignment vertical="center"/>
      <protection/>
    </xf>
    <xf numFmtId="0" fontId="3" fillId="0" borderId="11" xfId="21" applyNumberFormat="1" applyFont="1" applyBorder="1" applyAlignment="1" applyProtection="1">
      <alignment horizontal="center" vertical="center"/>
      <protection/>
    </xf>
    <xf numFmtId="0" fontId="3" fillId="0" borderId="33" xfId="21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0" fontId="4" fillId="2" borderId="4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5" xfId="0" applyFont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9" fillId="0" borderId="5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9" fillId="0" borderId="6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3" xfId="21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7" xfId="2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21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/>
      <protection/>
    </xf>
    <xf numFmtId="0" fontId="3" fillId="0" borderId="44" xfId="21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44" xfId="21" applyFont="1" applyFill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16" fillId="0" borderId="5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left"/>
      <protection/>
    </xf>
    <xf numFmtId="0" fontId="0" fillId="0" borderId="47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15" fillId="0" borderId="9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3" fillId="0" borderId="3" xfId="21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3" fillId="0" borderId="5" xfId="21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2" borderId="53" xfId="0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15" fillId="0" borderId="6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3" fillId="2" borderId="53" xfId="0" applyFont="1" applyFill="1" applyBorder="1" applyAlignment="1" applyProtection="1">
      <alignment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48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" fontId="3" fillId="0" borderId="0" xfId="21" applyNumberFormat="1" applyFont="1" applyFill="1" applyBorder="1" applyAlignment="1" applyProtection="1">
      <alignment horizontal="center" vertical="center"/>
      <protection/>
    </xf>
    <xf numFmtId="164" fontId="3" fillId="0" borderId="0" xfId="2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0" xfId="2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21" applyFont="1" applyFill="1" applyBorder="1" applyAlignment="1" applyProtection="1">
      <alignment horizontal="left"/>
      <protection/>
    </xf>
    <xf numFmtId="0" fontId="3" fillId="0" borderId="0" xfId="2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64" fontId="3" fillId="0" borderId="0" xfId="21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/>
      <protection/>
    </xf>
    <xf numFmtId="1" fontId="3" fillId="0" borderId="0" xfId="21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4" fillId="4" borderId="48" xfId="0" applyFont="1" applyFill="1" applyBorder="1" applyAlignment="1" applyProtection="1">
      <alignment horizontal="center"/>
      <protection/>
    </xf>
    <xf numFmtId="0" fontId="3" fillId="4" borderId="51" xfId="0" applyFont="1" applyFill="1" applyBorder="1" applyAlignment="1" applyProtection="1">
      <alignment horizontal="center"/>
      <protection locked="0"/>
    </xf>
    <xf numFmtId="0" fontId="3" fillId="4" borderId="51" xfId="0" applyFont="1" applyFill="1" applyBorder="1" applyAlignment="1" applyProtection="1">
      <alignment horizontal="center"/>
      <protection/>
    </xf>
    <xf numFmtId="0" fontId="3" fillId="4" borderId="43" xfId="21" applyFont="1" applyFill="1" applyBorder="1" applyAlignment="1" applyProtection="1">
      <alignment horizontal="center"/>
      <protection locked="0"/>
    </xf>
    <xf numFmtId="0" fontId="3" fillId="4" borderId="32" xfId="21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/>
    </xf>
    <xf numFmtId="0" fontId="3" fillId="3" borderId="43" xfId="21" applyFont="1" applyFill="1" applyBorder="1" applyAlignment="1" applyProtection="1">
      <alignment horizontal="center" vertical="center"/>
      <protection/>
    </xf>
    <xf numFmtId="164" fontId="3" fillId="4" borderId="39" xfId="21" applyNumberFormat="1" applyFont="1" applyFill="1" applyBorder="1" applyAlignment="1" applyProtection="1">
      <alignment horizontal="center" vertical="center"/>
      <protection/>
    </xf>
    <xf numFmtId="164" fontId="3" fillId="4" borderId="32" xfId="21" applyNumberFormat="1" applyFont="1" applyFill="1" applyBorder="1" applyAlignment="1" applyProtection="1">
      <alignment horizontal="center" vertical="center"/>
      <protection/>
    </xf>
    <xf numFmtId="164" fontId="3" fillId="4" borderId="45" xfId="21" applyNumberFormat="1" applyFont="1" applyFill="1" applyBorder="1" applyAlignment="1" applyProtection="1">
      <alignment horizontal="center" vertical="center"/>
      <protection/>
    </xf>
    <xf numFmtId="1" fontId="3" fillId="4" borderId="39" xfId="21" applyNumberFormat="1" applyFont="1" applyFill="1" applyBorder="1" applyAlignment="1" applyProtection="1">
      <alignment horizontal="center" vertical="center"/>
      <protection/>
    </xf>
    <xf numFmtId="1" fontId="3" fillId="4" borderId="45" xfId="21" applyNumberFormat="1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43" xfId="21" applyFont="1" applyFill="1" applyBorder="1" applyAlignment="1" applyProtection="1">
      <alignment horizontal="center" vertical="center"/>
      <protection locked="0"/>
    </xf>
    <xf numFmtId="1" fontId="3" fillId="4" borderId="47" xfId="2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65" xfId="21" applyFont="1" applyBorder="1" applyAlignment="1" applyProtection="1">
      <alignment horizontal="left"/>
      <protection/>
    </xf>
    <xf numFmtId="0" fontId="3" fillId="0" borderId="22" xfId="21" applyFont="1" applyBorder="1" applyAlignment="1" applyProtection="1">
      <alignment horizontal="left"/>
      <protection/>
    </xf>
    <xf numFmtId="0" fontId="4" fillId="5" borderId="37" xfId="21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20" fontId="4" fillId="0" borderId="11" xfId="0" applyNumberFormat="1" applyFont="1" applyBorder="1" applyAlignment="1" applyProtection="1">
      <alignment horizontal="center"/>
      <protection locked="0"/>
    </xf>
    <xf numFmtId="20" fontId="4" fillId="0" borderId="33" xfId="0" applyNumberFormat="1" applyFont="1" applyBorder="1" applyAlignment="1" applyProtection="1">
      <alignment horizontal="center"/>
      <protection locked="0"/>
    </xf>
    <xf numFmtId="20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2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164" fontId="13" fillId="0" borderId="48" xfId="0" applyNumberFormat="1" applyFont="1" applyFill="1" applyBorder="1" applyAlignment="1" applyProtection="1">
      <alignment horizontal="center" vertical="center"/>
      <protection/>
    </xf>
    <xf numFmtId="164" fontId="13" fillId="0" borderId="20" xfId="0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4" fillId="2" borderId="3" xfId="21" applyFont="1" applyFill="1" applyBorder="1" applyAlignment="1" applyProtection="1">
      <alignment horizontal="center"/>
      <protection/>
    </xf>
    <xf numFmtId="0" fontId="14" fillId="0" borderId="43" xfId="21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164" fontId="13" fillId="0" borderId="33" xfId="21" applyNumberFormat="1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/>
    </xf>
    <xf numFmtId="0" fontId="3" fillId="0" borderId="45" xfId="2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4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Fill="1" applyBorder="1" applyAlignment="1" applyProtection="1">
      <alignment horizontal="center"/>
      <protection/>
    </xf>
    <xf numFmtId="164" fontId="13" fillId="0" borderId="32" xfId="21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 quotePrefix="1">
      <alignment horizontal="center"/>
      <protection locked="0"/>
    </xf>
    <xf numFmtId="0" fontId="3" fillId="0" borderId="23" xfId="0" applyFont="1" applyBorder="1" applyAlignment="1" applyProtection="1" quotePrefix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4" xfId="21" applyFont="1" applyBorder="1" applyAlignment="1" applyProtection="1">
      <alignment horizontal="center"/>
      <protection/>
    </xf>
    <xf numFmtId="0" fontId="3" fillId="0" borderId="5" xfId="2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12" xfId="21" applyFont="1" applyBorder="1" applyAlignment="1" applyProtection="1">
      <alignment horizontal="center"/>
      <protection/>
    </xf>
    <xf numFmtId="0" fontId="3" fillId="0" borderId="6" xfId="21" applyFont="1" applyBorder="1" applyAlignment="1" applyProtection="1" quotePrefix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4" fillId="5" borderId="7" xfId="21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2" borderId="29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61" xfId="21" applyFont="1" applyBorder="1" applyAlignment="1" applyProtection="1">
      <alignment horizontal="left"/>
      <protection/>
    </xf>
    <xf numFmtId="0" fontId="3" fillId="0" borderId="50" xfId="0" applyFont="1" applyBorder="1" applyAlignment="1">
      <alignment horizontal="center"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2" xfId="21" applyFont="1" applyBorder="1" applyAlignment="1" applyProtection="1">
      <alignment horizontal="left"/>
      <protection/>
    </xf>
    <xf numFmtId="0" fontId="3" fillId="0" borderId="38" xfId="0" applyFont="1" applyBorder="1" applyAlignment="1">
      <alignment horizontal="center"/>
    </xf>
    <xf numFmtId="0" fontId="3" fillId="0" borderId="70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64" fontId="3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0" xfId="21" applyFont="1" applyFill="1" applyBorder="1" applyAlignment="1" applyProtection="1">
      <alignment horizontal="left"/>
      <protection/>
    </xf>
    <xf numFmtId="0" fontId="3" fillId="0" borderId="1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/>
    </xf>
    <xf numFmtId="164" fontId="3" fillId="0" borderId="20" xfId="0" applyNumberFormat="1" applyFont="1" applyFill="1" applyBorder="1" applyAlignment="1" applyProtection="1">
      <alignment horizontal="center"/>
      <protection/>
    </xf>
    <xf numFmtId="0" fontId="3" fillId="0" borderId="70" xfId="2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20" fontId="4" fillId="0" borderId="7" xfId="0" applyNumberFormat="1" applyFont="1" applyBorder="1" applyAlignment="1" applyProtection="1">
      <alignment horizontal="center"/>
      <protection locked="0"/>
    </xf>
    <xf numFmtId="20" fontId="4" fillId="0" borderId="6" xfId="0" applyNumberFormat="1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2" borderId="37" xfId="21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3" fillId="2" borderId="6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/>
      <protection/>
    </xf>
    <xf numFmtId="0" fontId="0" fillId="4" borderId="6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4" fillId="0" borderId="72" xfId="0" applyFont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49" fontId="3" fillId="0" borderId="27" xfId="21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9" xfId="0" applyFont="1" applyBorder="1" applyAlignment="1" applyProtection="1">
      <alignment horizontal="left" vertical="top"/>
      <protection/>
    </xf>
    <xf numFmtId="0" fontId="11" fillId="0" borderId="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3" fillId="2" borderId="44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/>
      <protection/>
    </xf>
    <xf numFmtId="0" fontId="0" fillId="0" borderId="75" xfId="0" applyFont="1" applyBorder="1" applyAlignment="1" applyProtection="1" quotePrefix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top"/>
      <protection/>
    </xf>
    <xf numFmtId="0" fontId="0" fillId="0" borderId="42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center" vertical="center"/>
      <protection/>
    </xf>
    <xf numFmtId="0" fontId="15" fillId="0" borderId="8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0" fontId="4" fillId="2" borderId="72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3" borderId="27" xfId="21" applyNumberFormat="1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right" vertical="center"/>
      <protection/>
    </xf>
    <xf numFmtId="0" fontId="3" fillId="4" borderId="55" xfId="0" applyFont="1" applyFill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3" fillId="0" borderId="27" xfId="21" applyNumberFormat="1" applyFon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7" xfId="21" applyFont="1" applyBorder="1" applyAlignment="1" applyProtection="1">
      <alignment horizontal="center"/>
      <protection/>
    </xf>
    <xf numFmtId="0" fontId="4" fillId="0" borderId="36" xfId="2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3" fillId="0" borderId="72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2" borderId="56" xfId="0" applyFont="1" applyFill="1" applyBorder="1" applyAlignment="1" applyProtection="1">
      <alignment horizontal="center"/>
      <protection/>
    </xf>
    <xf numFmtId="0" fontId="3" fillId="2" borderId="49" xfId="0" applyFont="1" applyFill="1" applyBorder="1" applyAlignment="1" applyProtection="1">
      <alignment horizontal="center"/>
      <protection/>
    </xf>
    <xf numFmtId="0" fontId="3" fillId="0" borderId="0" xfId="2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3" borderId="7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27" xfId="21" applyNumberFormat="1" applyFont="1" applyFill="1" applyBorder="1" applyAlignment="1" applyProtection="1">
      <alignment horizontal="center" vertical="center"/>
      <protection/>
    </xf>
    <xf numFmtId="0" fontId="0" fillId="3" borderId="32" xfId="0" applyFill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vertical="center"/>
      <protection locked="0"/>
    </xf>
    <xf numFmtId="0" fontId="3" fillId="2" borderId="28" xfId="21" applyFont="1" applyFill="1" applyBorder="1" applyAlignment="1" applyProtection="1">
      <alignment horizontal="right" vertical="center"/>
      <protection/>
    </xf>
    <xf numFmtId="0" fontId="0" fillId="2" borderId="27" xfId="0" applyFill="1" applyBorder="1" applyAlignment="1" applyProtection="1">
      <alignment horizontal="right" vertical="center"/>
      <protection/>
    </xf>
    <xf numFmtId="0" fontId="0" fillId="2" borderId="32" xfId="0" applyFill="1" applyBorder="1" applyAlignment="1" applyProtection="1">
      <alignment horizontal="right" vertical="center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78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44" xfId="21" applyFont="1" applyFill="1" applyBorder="1" applyAlignment="1" applyProtection="1">
      <alignment horizontal="right" vertical="center"/>
      <protection/>
    </xf>
    <xf numFmtId="0" fontId="3" fillId="2" borderId="17" xfId="21" applyFont="1" applyFill="1" applyBorder="1" applyAlignment="1" applyProtection="1">
      <alignment horizontal="right" vertical="center"/>
      <protection/>
    </xf>
    <xf numFmtId="0" fontId="3" fillId="2" borderId="79" xfId="0" applyFont="1" applyFill="1" applyBorder="1" applyAlignment="1" applyProtection="1">
      <alignment horizontal="right" vertical="center"/>
      <protection/>
    </xf>
    <xf numFmtId="0" fontId="3" fillId="2" borderId="39" xfId="0" applyFont="1" applyFill="1" applyBorder="1" applyAlignment="1" applyProtection="1">
      <alignment horizontal="right" vertical="center"/>
      <protection/>
    </xf>
    <xf numFmtId="0" fontId="3" fillId="2" borderId="68" xfId="0" applyFont="1" applyFill="1" applyBorder="1" applyAlignment="1" applyProtection="1">
      <alignment horizontal="right" vertical="center"/>
      <protection/>
    </xf>
    <xf numFmtId="0" fontId="3" fillId="2" borderId="32" xfId="21" applyFont="1" applyFill="1" applyBorder="1" applyAlignment="1" applyProtection="1">
      <alignment horizontal="right" vertical="center"/>
      <protection/>
    </xf>
    <xf numFmtId="49" fontId="3" fillId="0" borderId="44" xfId="0" applyNumberFormat="1" applyFont="1" applyFill="1" applyBorder="1" applyAlignment="1" applyProtection="1">
      <alignment horizontal="right" vertical="center"/>
      <protection locked="0"/>
    </xf>
    <xf numFmtId="49" fontId="3" fillId="0" borderId="70" xfId="0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0" fillId="0" borderId="52" xfId="0" applyNumberFormat="1" applyFont="1" applyFill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right" vertical="center"/>
      <protection/>
    </xf>
    <xf numFmtId="0" fontId="3" fillId="2" borderId="64" xfId="0" applyFont="1" applyFill="1" applyBorder="1" applyAlignment="1" applyProtection="1">
      <alignment horizontal="right" vertical="center"/>
      <protection/>
    </xf>
    <xf numFmtId="0" fontId="3" fillId="2" borderId="14" xfId="0" applyFont="1" applyFill="1" applyBorder="1" applyAlignment="1" applyProtection="1">
      <alignment horizontal="right" vertical="center"/>
      <protection/>
    </xf>
    <xf numFmtId="0" fontId="3" fillId="2" borderId="13" xfId="0" applyFont="1" applyFill="1" applyBorder="1" applyAlignment="1" applyProtection="1">
      <alignment horizontal="right" vertical="center"/>
      <protection/>
    </xf>
    <xf numFmtId="0" fontId="3" fillId="2" borderId="8" xfId="0" applyFont="1" applyFill="1" applyBorder="1" applyAlignment="1" applyProtection="1">
      <alignment horizontal="right" vertical="center"/>
      <protection/>
    </xf>
    <xf numFmtId="0" fontId="3" fillId="2" borderId="51" xfId="0" applyFont="1" applyFill="1" applyBorder="1" applyAlignment="1" applyProtection="1">
      <alignment horizontal="right" vertical="center"/>
      <protection/>
    </xf>
    <xf numFmtId="0" fontId="3" fillId="2" borderId="10" xfId="0" applyFont="1" applyFill="1" applyBorder="1" applyAlignment="1" applyProtection="1">
      <alignment horizontal="right" vertical="center"/>
      <protection/>
    </xf>
    <xf numFmtId="0" fontId="0" fillId="2" borderId="11" xfId="0" applyFill="1" applyBorder="1" applyAlignment="1" applyProtection="1">
      <alignment horizontal="right" vertical="center"/>
      <protection/>
    </xf>
    <xf numFmtId="0" fontId="0" fillId="2" borderId="33" xfId="0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3" fillId="2" borderId="12" xfId="21" applyFont="1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15" fillId="2" borderId="28" xfId="0" applyFont="1" applyFill="1" applyBorder="1" applyAlignment="1" applyProtection="1">
      <alignment horizontal="right" vertical="center"/>
      <protection/>
    </xf>
    <xf numFmtId="0" fontId="15" fillId="2" borderId="32" xfId="0" applyFont="1" applyFill="1" applyBorder="1" applyAlignment="1" applyProtection="1">
      <alignment horizontal="right" vertical="center"/>
      <protection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69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44" xfId="0" applyNumberFormat="1" applyFont="1" applyFill="1" applyBorder="1" applyAlignment="1" applyProtection="1">
      <alignment horizontal="center" vertical="center"/>
      <protection locked="0"/>
    </xf>
    <xf numFmtId="49" fontId="16" fillId="0" borderId="7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right" vertical="center"/>
      <protection/>
    </xf>
    <xf numFmtId="0" fontId="3" fillId="2" borderId="15" xfId="0" applyFont="1" applyFill="1" applyBorder="1" applyAlignment="1" applyProtection="1">
      <alignment horizontal="right" vertical="center"/>
      <protection/>
    </xf>
    <xf numFmtId="0" fontId="3" fillId="2" borderId="54" xfId="0" applyFont="1" applyFill="1" applyBorder="1" applyAlignment="1" applyProtection="1">
      <alignment horizontal="center" vertical="center"/>
      <protection/>
    </xf>
    <xf numFmtId="0" fontId="3" fillId="2" borderId="47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0" fillId="2" borderId="72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4" fillId="2" borderId="82" xfId="0" applyFont="1" applyFill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2" borderId="22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vertical="center"/>
      <protection/>
    </xf>
    <xf numFmtId="49" fontId="3" fillId="0" borderId="61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0" fillId="4" borderId="45" xfId="0" applyFill="1" applyBorder="1" applyAlignment="1" applyProtection="1">
      <alignment vertical="center"/>
      <protection locked="0"/>
    </xf>
    <xf numFmtId="0" fontId="3" fillId="2" borderId="22" xfId="21" applyFont="1" applyFill="1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2" borderId="37" xfId="21" applyFont="1" applyFill="1" applyBorder="1" applyAlignment="1" applyProtection="1">
      <alignment horizontal="center" vertical="center"/>
      <protection/>
    </xf>
    <xf numFmtId="0" fontId="3" fillId="2" borderId="72" xfId="2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0" borderId="12" xfId="21" applyFont="1" applyBorder="1" applyAlignment="1" applyProtection="1">
      <alignment horizontal="center"/>
      <protection/>
    </xf>
    <xf numFmtId="0" fontId="4" fillId="0" borderId="6" xfId="21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8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6" xfId="0" applyNumberForma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4" xfId="21" applyFont="1" applyBorder="1" applyAlignment="1">
      <alignment horizontal="center"/>
      <protection/>
    </xf>
    <xf numFmtId="0" fontId="3" fillId="0" borderId="70" xfId="21" applyFont="1" applyBorder="1" applyAlignment="1">
      <alignment horizontal="center"/>
      <protection/>
    </xf>
    <xf numFmtId="0" fontId="3" fillId="0" borderId="17" xfId="21" applyFont="1" applyBorder="1" applyAlignment="1">
      <alignment horizontal="center"/>
      <protection/>
    </xf>
    <xf numFmtId="49" fontId="0" fillId="0" borderId="87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19050</xdr:rowOff>
    </xdr:from>
    <xdr:to>
      <xdr:col>2</xdr:col>
      <xdr:colOff>0</xdr:colOff>
      <xdr:row>11</xdr:row>
      <xdr:rowOff>9525</xdr:rowOff>
    </xdr:to>
    <xdr:sp>
      <xdr:nvSpPr>
        <xdr:cNvPr id="1" name="Oval 1"/>
        <xdr:cNvSpPr>
          <a:spLocks/>
        </xdr:cNvSpPr>
      </xdr:nvSpPr>
      <xdr:spPr>
        <a:xfrm>
          <a:off x="571500" y="1466850"/>
          <a:ext cx="27622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2</xdr:col>
      <xdr:colOff>0</xdr:colOff>
      <xdr:row>16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47725" y="17335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11</xdr:row>
      <xdr:rowOff>9525</xdr:rowOff>
    </xdr:to>
    <xdr:sp>
      <xdr:nvSpPr>
        <xdr:cNvPr id="3" name="Oval 3"/>
        <xdr:cNvSpPr>
          <a:spLocks/>
        </xdr:cNvSpPr>
      </xdr:nvSpPr>
      <xdr:spPr>
        <a:xfrm>
          <a:off x="4619625" y="146685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114300</xdr:rowOff>
    </xdr:from>
    <xdr:to>
      <xdr:col>8</xdr:col>
      <xdr:colOff>0</xdr:colOff>
      <xdr:row>19</xdr:row>
      <xdr:rowOff>38100</xdr:rowOff>
    </xdr:to>
    <xdr:sp>
      <xdr:nvSpPr>
        <xdr:cNvPr id="4" name="Line 4"/>
        <xdr:cNvSpPr>
          <a:spLocks/>
        </xdr:cNvSpPr>
      </xdr:nvSpPr>
      <xdr:spPr>
        <a:xfrm>
          <a:off x="4619625" y="173355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3</xdr:col>
      <xdr:colOff>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95300" y="2114550"/>
          <a:ext cx="276225" cy="219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9525</xdr:rowOff>
    </xdr:from>
    <xdr:to>
      <xdr:col>6</xdr:col>
      <xdr:colOff>0</xdr:colOff>
      <xdr:row>12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390650" y="2114550"/>
          <a:ext cx="276225" cy="219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180975</xdr:rowOff>
    </xdr:from>
    <xdr:to>
      <xdr:col>6</xdr:col>
      <xdr:colOff>0</xdr:colOff>
      <xdr:row>21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81125" y="3962400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3</xdr:col>
      <xdr:colOff>0</xdr:colOff>
      <xdr:row>21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85775" y="3962400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19050</xdr:rowOff>
    </xdr:from>
    <xdr:to>
      <xdr:col>2</xdr:col>
      <xdr:colOff>142875</xdr:colOff>
      <xdr:row>19</xdr:row>
      <xdr:rowOff>180975</xdr:rowOff>
    </xdr:to>
    <xdr:sp>
      <xdr:nvSpPr>
        <xdr:cNvPr id="5" name="Line 5"/>
        <xdr:cNvSpPr>
          <a:spLocks/>
        </xdr:cNvSpPr>
      </xdr:nvSpPr>
      <xdr:spPr>
        <a:xfrm>
          <a:off x="628650" y="23336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19050</xdr:rowOff>
    </xdr:from>
    <xdr:to>
      <xdr:col>5</xdr:col>
      <xdr:colOff>142875</xdr:colOff>
      <xdr:row>19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524000" y="23336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15</xdr:row>
      <xdr:rowOff>0</xdr:rowOff>
    </xdr:from>
    <xdr:to>
      <xdr:col>3</xdr:col>
      <xdr:colOff>57150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371475" y="2943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1285875" y="2943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19050</xdr:rowOff>
    </xdr:from>
    <xdr:to>
      <xdr:col>8</xdr:col>
      <xdr:colOff>0</xdr:colOff>
      <xdr:row>10</xdr:row>
      <xdr:rowOff>9525</xdr:rowOff>
    </xdr:to>
    <xdr:sp>
      <xdr:nvSpPr>
        <xdr:cNvPr id="1" name="Oval 1"/>
        <xdr:cNvSpPr>
          <a:spLocks/>
        </xdr:cNvSpPr>
      </xdr:nvSpPr>
      <xdr:spPr>
        <a:xfrm>
          <a:off x="4581525" y="1285875"/>
          <a:ext cx="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18</xdr:row>
      <xdr:rowOff>38100</xdr:rowOff>
    </xdr:to>
    <xdr:sp>
      <xdr:nvSpPr>
        <xdr:cNvPr id="2" name="Line 2"/>
        <xdr:cNvSpPr>
          <a:spLocks/>
        </xdr:cNvSpPr>
      </xdr:nvSpPr>
      <xdr:spPr>
        <a:xfrm>
          <a:off x="4581525" y="15430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45</xdr:row>
      <xdr:rowOff>0</xdr:rowOff>
    </xdr:from>
    <xdr:to>
      <xdr:col>1</xdr:col>
      <xdr:colOff>657225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552450" y="7486650"/>
          <a:ext cx="104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45</xdr:row>
      <xdr:rowOff>0</xdr:rowOff>
    </xdr:from>
    <xdr:to>
      <xdr:col>1</xdr:col>
      <xdr:colOff>657225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413385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338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33850" y="74866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413385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413385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338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133850" y="748665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413385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K42" sqref="K42"/>
    </sheetView>
  </sheetViews>
  <sheetFormatPr defaultColWidth="9.140625" defaultRowHeight="12.75"/>
  <cols>
    <col min="1" max="1" width="0.9921875" style="89" customWidth="1"/>
    <col min="2" max="2" width="4.57421875" style="89" customWidth="1"/>
    <col min="3" max="3" width="7.421875" style="89" customWidth="1"/>
    <col min="4" max="6" width="12.00390625" style="89" customWidth="1"/>
    <col min="7" max="7" width="9.140625" style="89" customWidth="1"/>
    <col min="8" max="8" width="4.7109375" style="89" customWidth="1"/>
    <col min="9" max="9" width="4.57421875" style="89" customWidth="1"/>
    <col min="10" max="10" width="1.7109375" style="88" customWidth="1"/>
    <col min="11" max="11" width="15.421875" style="89" customWidth="1"/>
    <col min="12" max="12" width="4.57421875" style="89" customWidth="1"/>
    <col min="13" max="13" width="7.421875" style="89" customWidth="1"/>
    <col min="14" max="16" width="12.00390625" style="89" customWidth="1"/>
    <col min="17" max="17" width="9.140625" style="89" customWidth="1"/>
    <col min="18" max="19" width="4.57421875" style="89" customWidth="1"/>
    <col min="20" max="16384" width="9.140625" style="89" customWidth="1"/>
  </cols>
  <sheetData>
    <row r="1" spans="1:19" ht="16.5" customHeight="1" thickBot="1">
      <c r="A1" s="526"/>
      <c r="B1" s="598" t="s">
        <v>72</v>
      </c>
      <c r="C1" s="598"/>
      <c r="D1" s="598"/>
      <c r="E1" s="598"/>
      <c r="F1" s="94" t="s">
        <v>197</v>
      </c>
      <c r="G1" s="365" t="s">
        <v>244</v>
      </c>
      <c r="H1" s="95"/>
      <c r="I1" s="95"/>
      <c r="J1" s="526"/>
      <c r="K1" s="526"/>
      <c r="L1" s="598" t="s">
        <v>72</v>
      </c>
      <c r="M1" s="598"/>
      <c r="N1" s="599"/>
      <c r="O1" s="599"/>
      <c r="P1" s="599"/>
      <c r="Q1" s="599"/>
      <c r="R1" s="599"/>
      <c r="S1" s="599"/>
    </row>
    <row r="2" spans="1:19" ht="16.5" customHeight="1" thickBot="1">
      <c r="A2" s="526"/>
      <c r="B2" s="523" t="s">
        <v>0</v>
      </c>
      <c r="C2" s="547"/>
      <c r="D2" s="96" t="s">
        <v>22</v>
      </c>
      <c r="E2" s="96" t="s">
        <v>23</v>
      </c>
      <c r="F2" s="96" t="s">
        <v>24</v>
      </c>
      <c r="G2" s="96" t="s">
        <v>14</v>
      </c>
      <c r="H2" s="520" t="s">
        <v>73</v>
      </c>
      <c r="I2" s="521"/>
      <c r="J2" s="526"/>
      <c r="K2" s="526"/>
      <c r="L2" s="523" t="s">
        <v>0</v>
      </c>
      <c r="M2" s="547"/>
      <c r="N2" s="96" t="s">
        <v>22</v>
      </c>
      <c r="O2" s="96" t="s">
        <v>23</v>
      </c>
      <c r="P2" s="96" t="s">
        <v>24</v>
      </c>
      <c r="Q2" s="96" t="s">
        <v>14</v>
      </c>
      <c r="R2" s="520" t="s">
        <v>73</v>
      </c>
      <c r="S2" s="521"/>
    </row>
    <row r="3" spans="1:19" ht="16.5" customHeight="1" thickBot="1">
      <c r="A3" s="526"/>
      <c r="B3" s="524" t="str">
        <f>CONCATENATE(G1," ",VLOOKUP($G$1,'COMM PLAN'!$A$3:$G$11,2))</f>
        <v>Dextr 51</v>
      </c>
      <c r="C3" s="525"/>
      <c r="D3" s="91" t="s">
        <v>202</v>
      </c>
      <c r="E3" s="91" t="s">
        <v>203</v>
      </c>
      <c r="F3" s="91" t="s">
        <v>204</v>
      </c>
      <c r="G3" s="97"/>
      <c r="H3" s="596">
        <f>VLOOKUP($G$1,'COMM PLAN'!$A$3:$G$11,6)</f>
        <v>123</v>
      </c>
      <c r="I3" s="597"/>
      <c r="J3" s="526"/>
      <c r="K3" s="526"/>
      <c r="L3" s="600" t="str">
        <f>IF(B3="","",B3)</f>
        <v>Dextr 51</v>
      </c>
      <c r="M3" s="601"/>
      <c r="N3" s="97" t="str">
        <f>IF(D3="","",D3)</f>
        <v>Martin</v>
      </c>
      <c r="O3" s="97" t="str">
        <f>IF(F3="","",F3)</f>
        <v>Puccia</v>
      </c>
      <c r="P3" s="97" t="str">
        <f>IF(E3="","",E3)</f>
        <v>Walker</v>
      </c>
      <c r="Q3" s="97"/>
      <c r="R3" s="594">
        <f>IF(H3="","",H3)</f>
        <v>123</v>
      </c>
      <c r="S3" s="595"/>
    </row>
    <row r="4" spans="1:19" ht="16.5" customHeight="1" thickBot="1">
      <c r="A4" s="526"/>
      <c r="B4" s="524" t="str">
        <f>CONCATENATE($G$1," ",VLOOKUP($G$1,'COMM PLAN'!$A$3:$G$11,3))</f>
        <v>Dextr 52</v>
      </c>
      <c r="C4" s="525"/>
      <c r="D4" s="92" t="s">
        <v>205</v>
      </c>
      <c r="E4" s="92" t="s">
        <v>206</v>
      </c>
      <c r="F4" s="92" t="s">
        <v>207</v>
      </c>
      <c r="G4" s="98"/>
      <c r="H4" s="596">
        <f>VLOOKUP($G$1,'COMM PLAN'!$A$3:$G$11,7)</f>
        <v>60</v>
      </c>
      <c r="I4" s="597"/>
      <c r="J4" s="526"/>
      <c r="K4" s="526"/>
      <c r="L4" s="592" t="str">
        <f>IF(B4="","",B4)</f>
        <v>Dextr 52</v>
      </c>
      <c r="M4" s="593"/>
      <c r="N4" s="99" t="str">
        <f>IF(D4="","",D4)</f>
        <v>Teeter</v>
      </c>
      <c r="O4" s="99" t="str">
        <f>IF(F4="","",F4)</f>
        <v>Walborn</v>
      </c>
      <c r="P4" s="99" t="str">
        <f>IF(E4="","",E4)</f>
        <v>Drenkow</v>
      </c>
      <c r="Q4" s="98"/>
      <c r="R4" s="594">
        <f>IF(H4="","",H4)</f>
        <v>60</v>
      </c>
      <c r="S4" s="595"/>
    </row>
    <row r="5" spans="1:19" ht="16.5" customHeight="1" thickBot="1">
      <c r="A5" s="526"/>
      <c r="B5" s="551" t="s">
        <v>74</v>
      </c>
      <c r="C5" s="552"/>
      <c r="D5" s="168" t="s">
        <v>199</v>
      </c>
      <c r="E5" s="587" t="s">
        <v>75</v>
      </c>
      <c r="F5" s="530"/>
      <c r="G5" s="517" t="s">
        <v>76</v>
      </c>
      <c r="H5" s="518"/>
      <c r="I5" s="519"/>
      <c r="J5" s="526"/>
      <c r="K5" s="526"/>
      <c r="L5" s="551" t="s">
        <v>74</v>
      </c>
      <c r="M5" s="552"/>
      <c r="N5" s="100" t="str">
        <f>IF(D5="","",D5)</f>
        <v>0730L / 1330Z</v>
      </c>
      <c r="O5" s="587" t="s">
        <v>75</v>
      </c>
      <c r="P5" s="530"/>
      <c r="Q5" s="517" t="s">
        <v>76</v>
      </c>
      <c r="R5" s="518"/>
      <c r="S5" s="519"/>
    </row>
    <row r="6" spans="1:19" ht="16.5" customHeight="1">
      <c r="A6" s="526"/>
      <c r="B6" s="553" t="s">
        <v>77</v>
      </c>
      <c r="C6" s="554"/>
      <c r="D6" s="170" t="s">
        <v>200</v>
      </c>
      <c r="E6" s="101" t="s">
        <v>78</v>
      </c>
      <c r="F6" s="364">
        <f>VLOOKUP($G$1,'COMM PLAN'!$A$3:$G$11,5)</f>
        <v>235.875</v>
      </c>
      <c r="G6" s="103" t="s">
        <v>25</v>
      </c>
      <c r="H6" s="373">
        <v>5</v>
      </c>
      <c r="I6" s="374">
        <v>10</v>
      </c>
      <c r="J6" s="526"/>
      <c r="K6" s="526"/>
      <c r="L6" s="553" t="s">
        <v>77</v>
      </c>
      <c r="M6" s="554"/>
      <c r="N6" s="106" t="str">
        <f>IF(D6="","",D6)</f>
        <v>0810L / 1410Z</v>
      </c>
      <c r="O6" s="101" t="s">
        <v>78</v>
      </c>
      <c r="P6" s="102">
        <f>IF(F6="","",F6)</f>
        <v>235.875</v>
      </c>
      <c r="Q6" s="103" t="s">
        <v>25</v>
      </c>
      <c r="R6" s="104">
        <f>H6</f>
        <v>5</v>
      </c>
      <c r="S6" s="105">
        <f>I6</f>
        <v>10</v>
      </c>
    </row>
    <row r="7" spans="1:19" ht="16.5" customHeight="1" thickBot="1">
      <c r="A7" s="526"/>
      <c r="B7" s="590" t="s">
        <v>79</v>
      </c>
      <c r="C7" s="591"/>
      <c r="D7" s="169" t="s">
        <v>198</v>
      </c>
      <c r="E7" s="107" t="s">
        <v>80</v>
      </c>
      <c r="F7" s="364">
        <f>VLOOKUP($G$1,'COMM PLAN'!$A$3:$G$11,4)</f>
        <v>139.975</v>
      </c>
      <c r="G7" s="108" t="s">
        <v>26</v>
      </c>
      <c r="H7" s="588">
        <v>1000</v>
      </c>
      <c r="I7" s="589"/>
      <c r="J7" s="526"/>
      <c r="K7" s="526"/>
      <c r="L7" s="590" t="s">
        <v>79</v>
      </c>
      <c r="M7" s="591"/>
      <c r="N7" s="109" t="str">
        <f>IF(D7="","",D7)</f>
        <v>0830L / 1430Z</v>
      </c>
      <c r="O7" s="107" t="s">
        <v>80</v>
      </c>
      <c r="P7" s="102">
        <f>IF(F7="","",F7)</f>
        <v>139.975</v>
      </c>
      <c r="Q7" s="108" t="s">
        <v>26</v>
      </c>
      <c r="R7" s="602">
        <f>H7</f>
        <v>1000</v>
      </c>
      <c r="S7" s="603"/>
    </row>
    <row r="8" spans="1:19" ht="16.5" customHeight="1">
      <c r="A8" s="526"/>
      <c r="B8" s="545" t="s">
        <v>81</v>
      </c>
      <c r="C8" s="546"/>
      <c r="D8" s="110"/>
      <c r="E8" s="110"/>
      <c r="F8" s="111"/>
      <c r="G8" s="108" t="s">
        <v>27</v>
      </c>
      <c r="H8" s="536"/>
      <c r="I8" s="537"/>
      <c r="J8" s="526"/>
      <c r="K8" s="526"/>
      <c r="L8" s="545" t="s">
        <v>81</v>
      </c>
      <c r="M8" s="546"/>
      <c r="N8" s="110"/>
      <c r="O8" s="110"/>
      <c r="P8" s="111"/>
      <c r="Q8" s="108" t="s">
        <v>27</v>
      </c>
      <c r="R8" s="536"/>
      <c r="S8" s="537"/>
    </row>
    <row r="9" spans="1:19" ht="16.5" customHeight="1">
      <c r="A9" s="526"/>
      <c r="B9" s="522" t="s">
        <v>82</v>
      </c>
      <c r="C9" s="544"/>
      <c r="D9" s="586"/>
      <c r="E9" s="586"/>
      <c r="F9" s="112" t="s">
        <v>83</v>
      </c>
      <c r="G9" s="108" t="s">
        <v>1</v>
      </c>
      <c r="H9" s="368">
        <f>IF($H$7=1500,HLOOKUP($H$6,'Told &amp; COF'!$B$2:$G$13,2),IF($H$7=1000,HLOOKUP($H$6,'Told &amp; COF'!$I$2:$N$13,2)))</f>
        <v>96.5</v>
      </c>
      <c r="I9" s="369">
        <f>IF($H$7=1500,HLOOKUP($I$6,'Told &amp; COF'!$B$2:$G$13,2),IF($H$7=1000,HLOOKUP($I$6,'Told &amp; COF'!$I$2:$N$13,2)))</f>
        <v>97.7</v>
      </c>
      <c r="J9" s="526"/>
      <c r="K9" s="526"/>
      <c r="L9" s="522" t="s">
        <v>82</v>
      </c>
      <c r="M9" s="544"/>
      <c r="N9" s="586"/>
      <c r="O9" s="586"/>
      <c r="P9" s="112" t="s">
        <v>83</v>
      </c>
      <c r="Q9" s="108" t="s">
        <v>1</v>
      </c>
      <c r="R9" s="113">
        <f>H9</f>
        <v>96.5</v>
      </c>
      <c r="S9" s="114">
        <f>I9</f>
        <v>97.7</v>
      </c>
    </row>
    <row r="10" spans="1:19" ht="16.5" customHeight="1">
      <c r="A10" s="526"/>
      <c r="B10" s="534" t="s">
        <v>84</v>
      </c>
      <c r="C10" s="574"/>
      <c r="D10" s="531" t="str">
        <f>E3</f>
        <v>Walker</v>
      </c>
      <c r="E10" s="531"/>
      <c r="F10" s="116" t="s">
        <v>84</v>
      </c>
      <c r="G10" s="108" t="s">
        <v>2</v>
      </c>
      <c r="H10" s="368">
        <f>IF($H$7=1500,HLOOKUP($H$6,'Told &amp; COF'!$B$2:$G$13,3),IF($H$7=1000,HLOOKUP($H$6,'Told &amp; COF'!$I$2:$N$13,3)))</f>
        <v>95.6</v>
      </c>
      <c r="I10" s="370">
        <f>IF($H$7=1500,HLOOKUP($I$6,'Told &amp; COF'!$B$2:$G$13,3),IF($H$7=1000,HLOOKUP($I$6,'Told &amp; COF'!$I$2:$N$13,3)))</f>
        <v>96.7</v>
      </c>
      <c r="J10" s="526"/>
      <c r="K10" s="526"/>
      <c r="L10" s="534" t="s">
        <v>84</v>
      </c>
      <c r="M10" s="574"/>
      <c r="N10" s="531" t="str">
        <f>O4</f>
        <v>Walborn</v>
      </c>
      <c r="O10" s="531"/>
      <c r="P10" s="116" t="s">
        <v>84</v>
      </c>
      <c r="Q10" s="108" t="s">
        <v>2</v>
      </c>
      <c r="R10" s="113">
        <f aca="true" t="shared" si="0" ref="R10:R20">H10</f>
        <v>95.6</v>
      </c>
      <c r="S10" s="117">
        <f aca="true" t="shared" si="1" ref="S10:S20">I10</f>
        <v>96.7</v>
      </c>
    </row>
    <row r="11" spans="1:19" ht="16.5" customHeight="1">
      <c r="A11" s="526"/>
      <c r="B11" s="543" t="s">
        <v>85</v>
      </c>
      <c r="C11" s="544"/>
      <c r="D11" s="532" t="s">
        <v>86</v>
      </c>
      <c r="E11" s="532"/>
      <c r="F11" s="119" t="s">
        <v>85</v>
      </c>
      <c r="G11" s="108" t="s">
        <v>3</v>
      </c>
      <c r="H11" s="368">
        <f>IF($H$7=1500,HLOOKUP($H$6,'Told &amp; COF'!$B$2:$G$13,4),IF($H$7=1000,HLOOKUP($H$6,'Told &amp; COF'!$I$2:$N$13,4)))</f>
        <v>5.2</v>
      </c>
      <c r="I11" s="370">
        <f>IF($H$7=1500,HLOOKUP($I$6,'Told &amp; COF'!$B$2:$G$13,4),IF($H$7=1000,HLOOKUP($I$6,'Told &amp; COF'!$I$2:$N$13,4)))</f>
        <v>5.2</v>
      </c>
      <c r="J11" s="526"/>
      <c r="K11" s="526"/>
      <c r="L11" s="543" t="s">
        <v>85</v>
      </c>
      <c r="M11" s="544"/>
      <c r="N11" s="532" t="s">
        <v>86</v>
      </c>
      <c r="O11" s="532"/>
      <c r="P11" s="119" t="s">
        <v>85</v>
      </c>
      <c r="Q11" s="108" t="s">
        <v>3</v>
      </c>
      <c r="R11" s="113">
        <f t="shared" si="0"/>
        <v>5.2</v>
      </c>
      <c r="S11" s="117">
        <f t="shared" si="1"/>
        <v>5.2</v>
      </c>
    </row>
    <row r="12" spans="1:19" ht="16.5" customHeight="1">
      <c r="A12" s="526"/>
      <c r="B12" s="543" t="s">
        <v>85</v>
      </c>
      <c r="C12" s="544"/>
      <c r="D12" s="532" t="s">
        <v>87</v>
      </c>
      <c r="E12" s="532"/>
      <c r="F12" s="119" t="s">
        <v>85</v>
      </c>
      <c r="G12" s="108" t="s">
        <v>4</v>
      </c>
      <c r="H12" s="371">
        <f>IF($H$7=1500,HLOOKUP($H$6,'Told &amp; COF'!$B$2:$G$13,5),IF($H$7=1000,HLOOKUP($H$6,'Told &amp; COF'!$I$2:$N$13,5)))</f>
        <v>3892</v>
      </c>
      <c r="I12" s="372">
        <f>IF($H$7=1500,HLOOKUP($I$6,'Told &amp; COF'!$B$2:$G$13,5),IF($H$7=1000,HLOOKUP($I$6,'Told &amp; COF'!$I$2:$N$13,5)))</f>
        <v>3947</v>
      </c>
      <c r="J12" s="526"/>
      <c r="K12" s="526"/>
      <c r="L12" s="543" t="s">
        <v>85</v>
      </c>
      <c r="M12" s="544"/>
      <c r="N12" s="532" t="s">
        <v>87</v>
      </c>
      <c r="O12" s="532"/>
      <c r="P12" s="119" t="s">
        <v>85</v>
      </c>
      <c r="Q12" s="108" t="s">
        <v>4</v>
      </c>
      <c r="R12" s="120">
        <f t="shared" si="0"/>
        <v>3892</v>
      </c>
      <c r="S12" s="121">
        <f t="shared" si="1"/>
        <v>3947</v>
      </c>
    </row>
    <row r="13" spans="1:19" ht="16.5" customHeight="1">
      <c r="A13" s="526"/>
      <c r="B13" s="543" t="s">
        <v>85</v>
      </c>
      <c r="C13" s="544"/>
      <c r="D13" s="532" t="s">
        <v>88</v>
      </c>
      <c r="E13" s="532"/>
      <c r="F13" s="119" t="s">
        <v>85</v>
      </c>
      <c r="G13" s="108" t="s">
        <v>89</v>
      </c>
      <c r="H13" s="371">
        <f>IF($H$7=1500,HLOOKUP($H$6,'Told &amp; COF'!$B$2:$G$13,6),IF($H$7=1000,HLOOKUP($H$6,'Told &amp; COF'!$I$2:$N$13,6)))</f>
        <v>4000</v>
      </c>
      <c r="I13" s="372">
        <f>IF($H$7=1500,HLOOKUP($I$6,'Told &amp; COF'!$B$2:$G$13,6),IF($H$7=1000,HLOOKUP($I$6,'Told &amp; COF'!$I$2:$N$13,6)))</f>
        <v>4038</v>
      </c>
      <c r="J13" s="526"/>
      <c r="K13" s="526"/>
      <c r="L13" s="543" t="s">
        <v>85</v>
      </c>
      <c r="M13" s="544"/>
      <c r="N13" s="532" t="s">
        <v>88</v>
      </c>
      <c r="O13" s="532"/>
      <c r="P13" s="119" t="s">
        <v>85</v>
      </c>
      <c r="Q13" s="108" t="s">
        <v>89</v>
      </c>
      <c r="R13" s="120">
        <f t="shared" si="0"/>
        <v>4000</v>
      </c>
      <c r="S13" s="121">
        <f t="shared" si="1"/>
        <v>4038</v>
      </c>
    </row>
    <row r="14" spans="1:19" ht="16.5" customHeight="1">
      <c r="A14" s="526"/>
      <c r="B14" s="543" t="s">
        <v>90</v>
      </c>
      <c r="C14" s="544"/>
      <c r="D14" s="532" t="s">
        <v>91</v>
      </c>
      <c r="E14" s="532"/>
      <c r="F14" s="119" t="s">
        <v>90</v>
      </c>
      <c r="G14" s="108" t="s">
        <v>5</v>
      </c>
      <c r="H14" s="368">
        <f>IF($H$7=1500,HLOOKUP($H$6,'Told &amp; COF'!$B$2:$G$13,7),IF($H$7=1000,HLOOKUP($H$6,'Told &amp; COF'!$I$2:$N$13,7)))</f>
        <v>99</v>
      </c>
      <c r="I14" s="370">
        <f>IF($H$7=1500,HLOOKUP($I$6,'Told &amp; COF'!$B$2:$G$13,7),IF($H$7=1000,HLOOKUP($I$6,'Told &amp; COF'!$I$2:$N$13,7)))</f>
        <v>99</v>
      </c>
      <c r="J14" s="526"/>
      <c r="K14" s="526"/>
      <c r="L14" s="543" t="s">
        <v>90</v>
      </c>
      <c r="M14" s="544"/>
      <c r="N14" s="532" t="s">
        <v>91</v>
      </c>
      <c r="O14" s="532"/>
      <c r="P14" s="119" t="s">
        <v>90</v>
      </c>
      <c r="Q14" s="108" t="s">
        <v>5</v>
      </c>
      <c r="R14" s="113">
        <f t="shared" si="0"/>
        <v>99</v>
      </c>
      <c r="S14" s="117">
        <f t="shared" si="1"/>
        <v>99</v>
      </c>
    </row>
    <row r="15" spans="1:19" ht="16.5" customHeight="1">
      <c r="A15" s="526"/>
      <c r="B15" s="543" t="s">
        <v>90</v>
      </c>
      <c r="C15" s="544"/>
      <c r="D15" s="532" t="s">
        <v>92</v>
      </c>
      <c r="E15" s="532"/>
      <c r="F15" s="119" t="s">
        <v>90</v>
      </c>
      <c r="G15" s="108" t="s">
        <v>10</v>
      </c>
      <c r="H15" s="368">
        <f>IF($H$7=1500,HLOOKUP($H$6,'Told &amp; COF'!$B$2:$G$13,8),IF($H$7=1000,HLOOKUP($H$6,'Told &amp; COF'!$I$2:$N$13,8)))</f>
        <v>149</v>
      </c>
      <c r="I15" s="370">
        <f>IF($H$7=1500,HLOOKUP($I$6,'Told &amp; COF'!$B$2:$G$13,8),IF($H$7=1000,HLOOKUP($I$6,'Told &amp; COF'!$I$2:$N$13,8)))</f>
        <v>145</v>
      </c>
      <c r="J15" s="526"/>
      <c r="K15" s="526"/>
      <c r="L15" s="543" t="s">
        <v>90</v>
      </c>
      <c r="M15" s="544"/>
      <c r="N15" s="532" t="s">
        <v>92</v>
      </c>
      <c r="O15" s="532"/>
      <c r="P15" s="119" t="s">
        <v>90</v>
      </c>
      <c r="Q15" s="108" t="s">
        <v>10</v>
      </c>
      <c r="R15" s="113">
        <f t="shared" si="0"/>
        <v>149</v>
      </c>
      <c r="S15" s="117">
        <f t="shared" si="1"/>
        <v>145</v>
      </c>
    </row>
    <row r="16" spans="1:19" ht="16.5" customHeight="1">
      <c r="A16" s="526"/>
      <c r="B16" s="538"/>
      <c r="C16" s="533"/>
      <c r="D16" s="586"/>
      <c r="E16" s="586"/>
      <c r="F16" s="119"/>
      <c r="G16" s="108" t="s">
        <v>6</v>
      </c>
      <c r="H16" s="368">
        <f>IF($H$7=1500,HLOOKUP($H$6,'Told &amp; COF'!$B$2:$G$13,9),IF($H$7=1000,HLOOKUP($H$6,'Told &amp; COF'!$I$2:$N$13,9)))</f>
        <v>138</v>
      </c>
      <c r="I16" s="370">
        <f>IF($H$7=1500,HLOOKUP($I$6,'Told &amp; COF'!$B$2:$G$13,9),IF($H$7=1000,HLOOKUP($I$6,'Told &amp; COF'!$I$2:$N$13,9)))</f>
        <v>137</v>
      </c>
      <c r="J16" s="526"/>
      <c r="K16" s="526"/>
      <c r="L16" s="538"/>
      <c r="M16" s="533"/>
      <c r="N16" s="586"/>
      <c r="O16" s="586"/>
      <c r="P16" s="119"/>
      <c r="Q16" s="108" t="s">
        <v>6</v>
      </c>
      <c r="R16" s="113">
        <f t="shared" si="0"/>
        <v>138</v>
      </c>
      <c r="S16" s="117">
        <f t="shared" si="1"/>
        <v>137</v>
      </c>
    </row>
    <row r="17" spans="1:19" ht="16.5" customHeight="1">
      <c r="A17" s="526"/>
      <c r="B17" s="534" t="s">
        <v>84</v>
      </c>
      <c r="C17" s="574"/>
      <c r="D17" s="531" t="str">
        <f>F3</f>
        <v>Puccia</v>
      </c>
      <c r="E17" s="531"/>
      <c r="F17" s="116" t="s">
        <v>84</v>
      </c>
      <c r="G17" s="108" t="s">
        <v>7</v>
      </c>
      <c r="H17" s="368">
        <f>IF($H$7=1500,HLOOKUP($H$6,'Told &amp; COF'!$B$2:$G$13,10),IF($H$7=1000,HLOOKUP($H$6,'Told &amp; COF'!$I$2:$N$13,10)))</f>
        <v>115</v>
      </c>
      <c r="I17" s="370">
        <f>IF($H$7=1500,HLOOKUP($I$6,'Told &amp; COF'!$B$2:$G$13,10),IF($H$7=1000,HLOOKUP($I$6,'Told &amp; COF'!$I$2:$N$13,10)))</f>
        <v>115</v>
      </c>
      <c r="J17" s="526"/>
      <c r="K17" s="526"/>
      <c r="L17" s="534" t="s">
        <v>84</v>
      </c>
      <c r="M17" s="574"/>
      <c r="N17" s="531" t="str">
        <f>P4</f>
        <v>Drenkow</v>
      </c>
      <c r="O17" s="531"/>
      <c r="P17" s="116" t="s">
        <v>84</v>
      </c>
      <c r="Q17" s="108" t="s">
        <v>7</v>
      </c>
      <c r="R17" s="113">
        <f t="shared" si="0"/>
        <v>115</v>
      </c>
      <c r="S17" s="117">
        <f t="shared" si="1"/>
        <v>115</v>
      </c>
    </row>
    <row r="18" spans="1:19" ht="16.5" customHeight="1">
      <c r="A18" s="526"/>
      <c r="B18" s="543" t="s">
        <v>85</v>
      </c>
      <c r="C18" s="544"/>
      <c r="D18" s="532" t="s">
        <v>86</v>
      </c>
      <c r="E18" s="532"/>
      <c r="F18" s="119" t="s">
        <v>85</v>
      </c>
      <c r="G18" s="108" t="s">
        <v>8</v>
      </c>
      <c r="H18" s="368">
        <f>IF($H$7=1500,HLOOKUP($H$6,'Told &amp; COF'!$B$2:$G$13,11),IF($H$7=1000,HLOOKUP($H$6,'Told &amp; COF'!$I$2:$N$13,11)))</f>
        <v>123</v>
      </c>
      <c r="I18" s="370">
        <f>IF($H$7=1500,HLOOKUP($I$6,'Told &amp; COF'!$B$2:$G$13,11),IF($H$7=1000,HLOOKUP($I$6,'Told &amp; COF'!$I$2:$N$13,11)))</f>
        <v>123</v>
      </c>
      <c r="J18" s="526"/>
      <c r="K18" s="526"/>
      <c r="L18" s="543" t="s">
        <v>85</v>
      </c>
      <c r="M18" s="544"/>
      <c r="N18" s="532" t="s">
        <v>86</v>
      </c>
      <c r="O18" s="532"/>
      <c r="P18" s="119" t="s">
        <v>85</v>
      </c>
      <c r="Q18" s="108" t="s">
        <v>8</v>
      </c>
      <c r="R18" s="113">
        <f t="shared" si="0"/>
        <v>123</v>
      </c>
      <c r="S18" s="117">
        <f t="shared" si="1"/>
        <v>123</v>
      </c>
    </row>
    <row r="19" spans="1:19" ht="16.5" customHeight="1">
      <c r="A19" s="526"/>
      <c r="B19" s="543" t="s">
        <v>85</v>
      </c>
      <c r="C19" s="544"/>
      <c r="D19" s="532" t="s">
        <v>87</v>
      </c>
      <c r="E19" s="532"/>
      <c r="F19" s="119" t="s">
        <v>85</v>
      </c>
      <c r="G19" s="108" t="s">
        <v>9</v>
      </c>
      <c r="H19" s="368">
        <f>IF($H$7=1500,HLOOKUP($H$6,'Told &amp; COF'!$B$2:$G$13,12),IF($H$7=1000,HLOOKUP($H$6,'Told &amp; COF'!$I$2:$N$13,12)))</f>
        <v>115</v>
      </c>
      <c r="I19" s="370">
        <f>IF($H$7=1500,HLOOKUP($I$6,'Told &amp; COF'!$B$2:$G$13,12),IF($H$7=1000,HLOOKUP($I$6,'Told &amp; COF'!$I$2:$N$13,12)))</f>
        <v>115</v>
      </c>
      <c r="J19" s="526"/>
      <c r="K19" s="526"/>
      <c r="L19" s="543" t="s">
        <v>85</v>
      </c>
      <c r="M19" s="544"/>
      <c r="N19" s="532" t="s">
        <v>87</v>
      </c>
      <c r="O19" s="532"/>
      <c r="P19" s="119" t="s">
        <v>85</v>
      </c>
      <c r="Q19" s="108" t="s">
        <v>9</v>
      </c>
      <c r="R19" s="113">
        <f t="shared" si="0"/>
        <v>115</v>
      </c>
      <c r="S19" s="117">
        <f t="shared" si="1"/>
        <v>115</v>
      </c>
    </row>
    <row r="20" spans="1:19" ht="16.5" customHeight="1" thickBot="1">
      <c r="A20" s="526"/>
      <c r="B20" s="543" t="s">
        <v>85</v>
      </c>
      <c r="C20" s="544"/>
      <c r="D20" s="532" t="s">
        <v>88</v>
      </c>
      <c r="E20" s="532"/>
      <c r="F20" s="119" t="s">
        <v>85</v>
      </c>
      <c r="G20" s="122" t="s">
        <v>179</v>
      </c>
      <c r="H20" s="371">
        <f>IF($H$7=1500,HLOOKUP($H$6,'Told &amp; COF'!$B$2:$G$14,13),IF($H$7=1000,HLOOKUP($H$6,'Told &amp; COF'!$I$2:$N$14,13)))</f>
        <v>4157</v>
      </c>
      <c r="I20" s="375">
        <f>IF($H$7=1500,HLOOKUP($I$6,'Told &amp; COF'!$B$2:$G$14,13),IF($H$7=1000,HLOOKUP($I$6,'Told &amp; COF'!$I$2:$N$14,13)))</f>
        <v>4211</v>
      </c>
      <c r="J20" s="526"/>
      <c r="K20" s="526"/>
      <c r="L20" s="543" t="s">
        <v>85</v>
      </c>
      <c r="M20" s="544"/>
      <c r="N20" s="532" t="s">
        <v>88</v>
      </c>
      <c r="O20" s="532"/>
      <c r="P20" s="119" t="s">
        <v>85</v>
      </c>
      <c r="Q20" s="122" t="s">
        <v>179</v>
      </c>
      <c r="R20" s="120">
        <f t="shared" si="0"/>
        <v>4157</v>
      </c>
      <c r="S20" s="123">
        <f t="shared" si="1"/>
        <v>4211</v>
      </c>
    </row>
    <row r="21" spans="1:19" ht="16.5" customHeight="1">
      <c r="A21" s="526"/>
      <c r="B21" s="543" t="s">
        <v>90</v>
      </c>
      <c r="C21" s="544"/>
      <c r="D21" s="532" t="s">
        <v>91</v>
      </c>
      <c r="E21" s="532"/>
      <c r="F21" s="119" t="s">
        <v>90</v>
      </c>
      <c r="G21" s="124" t="s">
        <v>175</v>
      </c>
      <c r="H21" s="125"/>
      <c r="I21" s="126"/>
      <c r="J21" s="526"/>
      <c r="K21" s="526"/>
      <c r="L21" s="543" t="s">
        <v>90</v>
      </c>
      <c r="M21" s="544"/>
      <c r="N21" s="532" t="s">
        <v>91</v>
      </c>
      <c r="O21" s="532"/>
      <c r="P21" s="119" t="s">
        <v>90</v>
      </c>
      <c r="Q21" s="124" t="s">
        <v>175</v>
      </c>
      <c r="R21" s="125"/>
      <c r="S21" s="126"/>
    </row>
    <row r="22" spans="1:19" ht="16.5" customHeight="1">
      <c r="A22" s="526"/>
      <c r="B22" s="543" t="s">
        <v>90</v>
      </c>
      <c r="C22" s="544"/>
      <c r="D22" s="532" t="s">
        <v>92</v>
      </c>
      <c r="E22" s="532"/>
      <c r="F22" s="119" t="s">
        <v>90</v>
      </c>
      <c r="G22" s="127" t="s">
        <v>93</v>
      </c>
      <c r="H22" s="128"/>
      <c r="I22" s="129"/>
      <c r="J22" s="526"/>
      <c r="K22" s="526"/>
      <c r="L22" s="543" t="s">
        <v>90</v>
      </c>
      <c r="M22" s="544"/>
      <c r="N22" s="532" t="s">
        <v>92</v>
      </c>
      <c r="O22" s="532"/>
      <c r="P22" s="119" t="s">
        <v>90</v>
      </c>
      <c r="Q22" s="127" t="s">
        <v>93</v>
      </c>
      <c r="R22" s="128"/>
      <c r="S22" s="129"/>
    </row>
    <row r="23" spans="1:19" ht="16.5" customHeight="1" thickBot="1">
      <c r="A23" s="526"/>
      <c r="B23" s="543"/>
      <c r="C23" s="544"/>
      <c r="D23" s="532"/>
      <c r="E23" s="532"/>
      <c r="F23" s="119"/>
      <c r="G23" s="130" t="s">
        <v>94</v>
      </c>
      <c r="H23" s="131"/>
      <c r="I23" s="132"/>
      <c r="J23" s="526"/>
      <c r="K23" s="526"/>
      <c r="L23" s="543"/>
      <c r="M23" s="544"/>
      <c r="N23" s="532"/>
      <c r="O23" s="532"/>
      <c r="P23" s="119"/>
      <c r="Q23" s="130" t="s">
        <v>94</v>
      </c>
      <c r="R23" s="131"/>
      <c r="S23" s="132"/>
    </row>
    <row r="24" spans="1:19" ht="16.5" customHeight="1">
      <c r="A24" s="526"/>
      <c r="B24" s="542" t="s">
        <v>20</v>
      </c>
      <c r="C24" s="541"/>
      <c r="D24" s="539"/>
      <c r="E24" s="539"/>
      <c r="F24" s="539"/>
      <c r="G24" s="539"/>
      <c r="H24" s="539"/>
      <c r="I24" s="540"/>
      <c r="J24" s="526"/>
      <c r="K24" s="526"/>
      <c r="L24" s="542" t="s">
        <v>20</v>
      </c>
      <c r="M24" s="541"/>
      <c r="N24" s="539"/>
      <c r="O24" s="539"/>
      <c r="P24" s="539"/>
      <c r="Q24" s="539"/>
      <c r="R24" s="539"/>
      <c r="S24" s="540"/>
    </row>
    <row r="25" spans="1:19" ht="8.25" customHeight="1">
      <c r="A25" s="526"/>
      <c r="B25" s="555"/>
      <c r="C25" s="563"/>
      <c r="D25" s="564"/>
      <c r="E25" s="564"/>
      <c r="F25" s="564"/>
      <c r="G25" s="564"/>
      <c r="H25" s="564"/>
      <c r="I25" s="560"/>
      <c r="J25" s="526"/>
      <c r="K25" s="526"/>
      <c r="L25" s="555"/>
      <c r="M25" s="563"/>
      <c r="N25" s="564"/>
      <c r="O25" s="564"/>
      <c r="P25" s="564"/>
      <c r="Q25" s="564"/>
      <c r="R25" s="564"/>
      <c r="S25" s="560"/>
    </row>
    <row r="26" spans="1:19" ht="11.25" customHeight="1">
      <c r="A26" s="526"/>
      <c r="B26" s="556"/>
      <c r="C26" s="561"/>
      <c r="D26" s="562"/>
      <c r="E26" s="562"/>
      <c r="F26" s="562"/>
      <c r="G26" s="562"/>
      <c r="H26" s="562"/>
      <c r="I26" s="560"/>
      <c r="J26" s="526"/>
      <c r="K26" s="526"/>
      <c r="L26" s="556"/>
      <c r="M26" s="561"/>
      <c r="N26" s="562"/>
      <c r="O26" s="562"/>
      <c r="P26" s="562"/>
      <c r="Q26" s="562"/>
      <c r="R26" s="562"/>
      <c r="S26" s="560"/>
    </row>
    <row r="27" spans="1:19" ht="16.5" customHeight="1" thickBot="1">
      <c r="A27" s="526"/>
      <c r="B27" s="569" t="s">
        <v>180</v>
      </c>
      <c r="C27" s="567"/>
      <c r="D27" s="567"/>
      <c r="E27" s="567"/>
      <c r="F27" s="567"/>
      <c r="G27" s="567" t="s">
        <v>201</v>
      </c>
      <c r="H27" s="567"/>
      <c r="I27" s="568"/>
      <c r="J27" s="526"/>
      <c r="K27" s="526"/>
      <c r="L27" s="606" t="str">
        <f>B27</f>
        <v>BINGO: 1000lbs (inner MOA)/1100lbs (middle)/1200lbs (outer) </v>
      </c>
      <c r="M27" s="604"/>
      <c r="N27" s="604"/>
      <c r="O27" s="604"/>
      <c r="P27" s="604"/>
      <c r="Q27" s="604" t="str">
        <f>G27</f>
        <v> Chock 1200L / 1800Z</v>
      </c>
      <c r="R27" s="604"/>
      <c r="S27" s="605"/>
    </row>
    <row r="28" spans="1:19" ht="16.5" customHeight="1">
      <c r="A28" s="526"/>
      <c r="B28" s="545" t="s">
        <v>95</v>
      </c>
      <c r="C28" s="546"/>
      <c r="D28" s="134"/>
      <c r="E28" s="134"/>
      <c r="F28" s="134"/>
      <c r="G28" s="134"/>
      <c r="H28" s="134"/>
      <c r="I28" s="100"/>
      <c r="J28" s="526"/>
      <c r="K28" s="526"/>
      <c r="L28" s="545" t="s">
        <v>95</v>
      </c>
      <c r="M28" s="546"/>
      <c r="N28" s="134"/>
      <c r="O28" s="134"/>
      <c r="P28" s="134"/>
      <c r="Q28" s="134"/>
      <c r="R28" s="134"/>
      <c r="S28" s="100"/>
    </row>
    <row r="29" spans="1:19" ht="16.5" customHeight="1">
      <c r="A29" s="526"/>
      <c r="B29" s="135" t="s">
        <v>96</v>
      </c>
      <c r="C29" s="136"/>
      <c r="D29" s="136"/>
      <c r="E29" s="559"/>
      <c r="F29" s="559"/>
      <c r="G29" s="137"/>
      <c r="H29" s="565"/>
      <c r="I29" s="566"/>
      <c r="J29" s="526"/>
      <c r="K29" s="526"/>
      <c r="L29" s="135" t="s">
        <v>96</v>
      </c>
      <c r="M29" s="136"/>
      <c r="N29" s="136"/>
      <c r="O29" s="559"/>
      <c r="P29" s="559"/>
      <c r="Q29" s="137"/>
      <c r="R29" s="565"/>
      <c r="S29" s="566"/>
    </row>
    <row r="30" spans="1:19" ht="16.5" customHeight="1">
      <c r="A30" s="526"/>
      <c r="B30" s="585" t="s">
        <v>208</v>
      </c>
      <c r="C30" s="550"/>
      <c r="D30" s="550"/>
      <c r="E30" s="550"/>
      <c r="F30" s="138"/>
      <c r="G30" s="115"/>
      <c r="H30" s="574"/>
      <c r="I30" s="575"/>
      <c r="J30" s="526"/>
      <c r="K30" s="526"/>
      <c r="L30" s="557" t="str">
        <f>B30</f>
        <v>1. Get maneuvers up to MIF</v>
      </c>
      <c r="M30" s="558"/>
      <c r="N30" s="558"/>
      <c r="O30" s="558"/>
      <c r="P30" s="138"/>
      <c r="Q30" s="115"/>
      <c r="R30" s="574"/>
      <c r="S30" s="575"/>
    </row>
    <row r="31" spans="1:19" ht="16.5" customHeight="1">
      <c r="A31" s="526"/>
      <c r="B31" s="585" t="s">
        <v>181</v>
      </c>
      <c r="C31" s="550"/>
      <c r="D31" s="550"/>
      <c r="E31" s="550"/>
      <c r="F31" s="139"/>
      <c r="G31" s="139"/>
      <c r="H31" s="139"/>
      <c r="I31" s="140"/>
      <c r="J31" s="526"/>
      <c r="K31" s="526"/>
      <c r="L31" s="557" t="str">
        <f>B31</f>
        <v>2. IRT &lt;= 5</v>
      </c>
      <c r="M31" s="558"/>
      <c r="N31" s="558"/>
      <c r="O31" s="558"/>
      <c r="P31" s="139"/>
      <c r="Q31" s="139"/>
      <c r="R31" s="139"/>
      <c r="S31" s="140"/>
    </row>
    <row r="32" spans="1:19" ht="16.5" customHeight="1" thickBot="1">
      <c r="A32" s="526"/>
      <c r="B32" s="585" t="s">
        <v>182</v>
      </c>
      <c r="C32" s="550"/>
      <c r="D32" s="550"/>
      <c r="E32" s="550"/>
      <c r="F32" s="139"/>
      <c r="G32" s="139"/>
      <c r="H32" s="139"/>
      <c r="I32" s="141"/>
      <c r="J32" s="526"/>
      <c r="K32" s="526"/>
      <c r="L32" s="557" t="str">
        <f>B32</f>
        <v>3. Turning rejoin within 270-360</v>
      </c>
      <c r="M32" s="558"/>
      <c r="N32" s="558"/>
      <c r="O32" s="558"/>
      <c r="P32" s="139"/>
      <c r="Q32" s="139"/>
      <c r="R32" s="139"/>
      <c r="S32" s="141"/>
    </row>
    <row r="33" spans="1:19" ht="16.5" customHeight="1" thickBot="1">
      <c r="A33" s="526"/>
      <c r="B33" s="582" t="s">
        <v>100</v>
      </c>
      <c r="C33" s="547"/>
      <c r="D33" s="143" t="s">
        <v>101</v>
      </c>
      <c r="E33" s="144"/>
      <c r="F33" s="145"/>
      <c r="G33" s="146" t="s">
        <v>33</v>
      </c>
      <c r="H33" s="146" t="s">
        <v>174</v>
      </c>
      <c r="I33" s="147" t="s">
        <v>97</v>
      </c>
      <c r="J33" s="526"/>
      <c r="K33" s="526"/>
      <c r="L33" s="582" t="s">
        <v>100</v>
      </c>
      <c r="M33" s="547"/>
      <c r="N33" s="143" t="s">
        <v>101</v>
      </c>
      <c r="O33" s="144"/>
      <c r="P33" s="145"/>
      <c r="Q33" s="146" t="s">
        <v>33</v>
      </c>
      <c r="R33" s="146" t="s">
        <v>174</v>
      </c>
      <c r="S33" s="147" t="s">
        <v>97</v>
      </c>
    </row>
    <row r="34" spans="1:19" ht="16.5" customHeight="1">
      <c r="A34" s="526"/>
      <c r="B34" s="548">
        <v>150</v>
      </c>
      <c r="C34" s="549"/>
      <c r="D34" s="148">
        <v>24</v>
      </c>
      <c r="E34" s="144"/>
      <c r="F34" s="149" t="s">
        <v>34</v>
      </c>
      <c r="G34" s="150" t="s">
        <v>98</v>
      </c>
      <c r="H34" s="151">
        <v>2.5</v>
      </c>
      <c r="I34" s="152" t="s">
        <v>99</v>
      </c>
      <c r="J34" s="526"/>
      <c r="K34" s="526"/>
      <c r="L34" s="548">
        <v>150</v>
      </c>
      <c r="M34" s="549"/>
      <c r="N34" s="148">
        <v>24</v>
      </c>
      <c r="O34" s="144"/>
      <c r="P34" s="149" t="str">
        <f aca="true" t="shared" si="2" ref="P34:S35">F34</f>
        <v>END</v>
      </c>
      <c r="Q34" s="150" t="str">
        <f t="shared" si="2"/>
        <v>1,293'</v>
      </c>
      <c r="R34" s="151">
        <f t="shared" si="2"/>
        <v>2.5</v>
      </c>
      <c r="S34" s="152" t="str">
        <f t="shared" si="2"/>
        <v>&lt;35</v>
      </c>
    </row>
    <row r="35" spans="1:19" ht="24" customHeight="1" thickBot="1">
      <c r="A35" s="526"/>
      <c r="B35" s="572">
        <v>200</v>
      </c>
      <c r="C35" s="573"/>
      <c r="D35" s="154">
        <v>18</v>
      </c>
      <c r="E35" s="144"/>
      <c r="F35" s="155" t="s">
        <v>102</v>
      </c>
      <c r="G35" s="156" t="s">
        <v>103</v>
      </c>
      <c r="H35" s="157" t="s">
        <v>104</v>
      </c>
      <c r="I35" s="158" t="s">
        <v>105</v>
      </c>
      <c r="J35" s="526"/>
      <c r="K35" s="526"/>
      <c r="L35" s="572">
        <v>200</v>
      </c>
      <c r="M35" s="573"/>
      <c r="N35" s="154">
        <v>18</v>
      </c>
      <c r="O35" s="144"/>
      <c r="P35" s="155" t="str">
        <f t="shared" si="2"/>
        <v>CSM (15000#/2000')</v>
      </c>
      <c r="Q35" s="156" t="str">
        <f t="shared" si="2"/>
        <v>1,178'</v>
      </c>
      <c r="R35" s="157" t="str">
        <f t="shared" si="2"/>
        <v>4.9/3.3</v>
      </c>
      <c r="S35" s="158" t="str">
        <f t="shared" si="2"/>
        <v>&lt;19/32</v>
      </c>
    </row>
    <row r="36" spans="1:19" ht="16.5" customHeight="1" thickBot="1">
      <c r="A36" s="526"/>
      <c r="B36" s="572">
        <v>250</v>
      </c>
      <c r="C36" s="573"/>
      <c r="D36" s="154">
        <v>14</v>
      </c>
      <c r="E36" s="144"/>
      <c r="F36" s="582" t="s">
        <v>106</v>
      </c>
      <c r="G36" s="583"/>
      <c r="H36" s="583"/>
      <c r="I36" s="584"/>
      <c r="J36" s="526"/>
      <c r="K36" s="526"/>
      <c r="L36" s="572">
        <v>250</v>
      </c>
      <c r="M36" s="573"/>
      <c r="N36" s="154">
        <v>14</v>
      </c>
      <c r="O36" s="144"/>
      <c r="P36" s="582" t="s">
        <v>106</v>
      </c>
      <c r="Q36" s="583"/>
      <c r="R36" s="583"/>
      <c r="S36" s="584"/>
    </row>
    <row r="37" spans="1:19" ht="16.5" customHeight="1">
      <c r="A37" s="526"/>
      <c r="B37" s="572">
        <v>300</v>
      </c>
      <c r="C37" s="573"/>
      <c r="D37" s="154">
        <v>12</v>
      </c>
      <c r="E37" s="144"/>
      <c r="F37" s="159"/>
      <c r="G37" s="160" t="s">
        <v>107</v>
      </c>
      <c r="H37" s="580" t="s">
        <v>108</v>
      </c>
      <c r="I37" s="581"/>
      <c r="J37" s="526"/>
      <c r="K37" s="526"/>
      <c r="L37" s="572">
        <v>300</v>
      </c>
      <c r="M37" s="573"/>
      <c r="N37" s="154">
        <v>12</v>
      </c>
      <c r="O37" s="144"/>
      <c r="P37" s="159"/>
      <c r="Q37" s="160" t="s">
        <v>107</v>
      </c>
      <c r="R37" s="580" t="s">
        <v>108</v>
      </c>
      <c r="S37" s="581"/>
    </row>
    <row r="38" spans="1:19" ht="16.5" customHeight="1">
      <c r="A38" s="526"/>
      <c r="B38" s="572">
        <v>400</v>
      </c>
      <c r="C38" s="573"/>
      <c r="D38" s="154">
        <v>9</v>
      </c>
      <c r="E38" s="144"/>
      <c r="F38" s="161" t="s">
        <v>109</v>
      </c>
      <c r="G38" s="162" t="s">
        <v>176</v>
      </c>
      <c r="H38" s="578" t="s">
        <v>177</v>
      </c>
      <c r="I38" s="579"/>
      <c r="J38" s="526"/>
      <c r="K38" s="526"/>
      <c r="L38" s="572">
        <v>400</v>
      </c>
      <c r="M38" s="573"/>
      <c r="N38" s="154">
        <v>9</v>
      </c>
      <c r="O38" s="144"/>
      <c r="P38" s="161" t="s">
        <v>109</v>
      </c>
      <c r="Q38" s="162" t="str">
        <f>G38</f>
        <v>8 mi. (END)</v>
      </c>
      <c r="R38" s="578" t="str">
        <f>H38</f>
        <v>15 mi (CSM)</v>
      </c>
      <c r="S38" s="579"/>
    </row>
    <row r="39" spans="1:19" ht="16.5" customHeight="1" thickBot="1">
      <c r="A39" s="526"/>
      <c r="B39" s="570">
        <v>450</v>
      </c>
      <c r="C39" s="571"/>
      <c r="D39" s="164">
        <v>8</v>
      </c>
      <c r="E39" s="165"/>
      <c r="F39" s="166" t="s">
        <v>110</v>
      </c>
      <c r="G39" s="167" t="s">
        <v>111</v>
      </c>
      <c r="H39" s="576" t="s">
        <v>178</v>
      </c>
      <c r="I39" s="577"/>
      <c r="J39" s="526"/>
      <c r="K39" s="526"/>
      <c r="L39" s="570">
        <v>450</v>
      </c>
      <c r="M39" s="571"/>
      <c r="N39" s="164">
        <v>8</v>
      </c>
      <c r="O39" s="165"/>
      <c r="P39" s="166" t="s">
        <v>110</v>
      </c>
      <c r="Q39" s="167" t="str">
        <f>G39</f>
        <v>CHEEK/HARMS</v>
      </c>
      <c r="R39" s="576" t="str">
        <f>H39</f>
        <v>3 deg (CSM)\</v>
      </c>
      <c r="S39" s="577"/>
    </row>
    <row r="40" spans="1:19" ht="13.5" thickBot="1">
      <c r="A40" s="527"/>
      <c r="B40" s="535" t="s">
        <v>112</v>
      </c>
      <c r="C40" s="528"/>
      <c r="D40" s="529"/>
      <c r="E40" s="529"/>
      <c r="F40" s="529"/>
      <c r="G40" s="529"/>
      <c r="H40" s="529"/>
      <c r="I40" s="530"/>
      <c r="J40" s="526"/>
      <c r="K40" s="526"/>
      <c r="L40" s="535" t="s">
        <v>112</v>
      </c>
      <c r="M40" s="528"/>
      <c r="N40" s="529"/>
      <c r="O40" s="529"/>
      <c r="P40" s="529"/>
      <c r="Q40" s="529"/>
      <c r="R40" s="529"/>
      <c r="S40" s="530"/>
    </row>
  </sheetData>
  <sheetProtection/>
  <mergeCells count="145">
    <mergeCell ref="B1:E1"/>
    <mergeCell ref="L40:S40"/>
    <mergeCell ref="L38:M38"/>
    <mergeCell ref="L39:M39"/>
    <mergeCell ref="R38:S38"/>
    <mergeCell ref="R39:S39"/>
    <mergeCell ref="L36:M36"/>
    <mergeCell ref="L37:M37"/>
    <mergeCell ref="P36:S36"/>
    <mergeCell ref="R37:S37"/>
    <mergeCell ref="Q27:S27"/>
    <mergeCell ref="L27:P27"/>
    <mergeCell ref="L32:O32"/>
    <mergeCell ref="L35:M35"/>
    <mergeCell ref="R30:S30"/>
    <mergeCell ref="L33:M33"/>
    <mergeCell ref="L34:M34"/>
    <mergeCell ref="L28:M28"/>
    <mergeCell ref="O29:P29"/>
    <mergeCell ref="R29:S29"/>
    <mergeCell ref="L23:M23"/>
    <mergeCell ref="N23:O23"/>
    <mergeCell ref="L24:S24"/>
    <mergeCell ref="L25:L26"/>
    <mergeCell ref="M25:R25"/>
    <mergeCell ref="S25:S26"/>
    <mergeCell ref="M26:R26"/>
    <mergeCell ref="L21:M21"/>
    <mergeCell ref="N21:O21"/>
    <mergeCell ref="L22:M22"/>
    <mergeCell ref="N22:O22"/>
    <mergeCell ref="L19:M19"/>
    <mergeCell ref="N19:O19"/>
    <mergeCell ref="L20:M20"/>
    <mergeCell ref="N20:O20"/>
    <mergeCell ref="L17:M17"/>
    <mergeCell ref="N17:O17"/>
    <mergeCell ref="L18:M18"/>
    <mergeCell ref="N18:O18"/>
    <mergeCell ref="L15:M15"/>
    <mergeCell ref="N15:O15"/>
    <mergeCell ref="L16:M16"/>
    <mergeCell ref="N16:O16"/>
    <mergeCell ref="L13:M13"/>
    <mergeCell ref="N13:O13"/>
    <mergeCell ref="L14:M14"/>
    <mergeCell ref="N14:O14"/>
    <mergeCell ref="L11:M11"/>
    <mergeCell ref="N11:O11"/>
    <mergeCell ref="L12:M12"/>
    <mergeCell ref="N12:O12"/>
    <mergeCell ref="L9:M9"/>
    <mergeCell ref="N9:O9"/>
    <mergeCell ref="L10:M10"/>
    <mergeCell ref="N10:O10"/>
    <mergeCell ref="L7:M7"/>
    <mergeCell ref="R7:S7"/>
    <mergeCell ref="L8:M8"/>
    <mergeCell ref="R8:S8"/>
    <mergeCell ref="L5:M5"/>
    <mergeCell ref="O5:P5"/>
    <mergeCell ref="Q5:S5"/>
    <mergeCell ref="L6:M6"/>
    <mergeCell ref="L1:S1"/>
    <mergeCell ref="L2:M2"/>
    <mergeCell ref="R2:S2"/>
    <mergeCell ref="L3:M3"/>
    <mergeCell ref="R3:S3"/>
    <mergeCell ref="B7:C7"/>
    <mergeCell ref="L4:M4"/>
    <mergeCell ref="R4:S4"/>
    <mergeCell ref="D23:E23"/>
    <mergeCell ref="B18:C18"/>
    <mergeCell ref="D16:E16"/>
    <mergeCell ref="K1:K40"/>
    <mergeCell ref="J1:J40"/>
    <mergeCell ref="H3:I3"/>
    <mergeCell ref="H4:I4"/>
    <mergeCell ref="G5:I5"/>
    <mergeCell ref="D11:E11"/>
    <mergeCell ref="D20:E20"/>
    <mergeCell ref="D9:E9"/>
    <mergeCell ref="D10:E10"/>
    <mergeCell ref="D19:E19"/>
    <mergeCell ref="E5:F5"/>
    <mergeCell ref="H7:I7"/>
    <mergeCell ref="A1:A40"/>
    <mergeCell ref="D12:E12"/>
    <mergeCell ref="D13:E13"/>
    <mergeCell ref="D14:E14"/>
    <mergeCell ref="D15:E15"/>
    <mergeCell ref="B10:C10"/>
    <mergeCell ref="B11:C11"/>
    <mergeCell ref="B12:C12"/>
    <mergeCell ref="B3:C3"/>
    <mergeCell ref="B15:C15"/>
    <mergeCell ref="B40:I40"/>
    <mergeCell ref="D17:E17"/>
    <mergeCell ref="D18:E18"/>
    <mergeCell ref="H2:I2"/>
    <mergeCell ref="B9:C9"/>
    <mergeCell ref="B2:C2"/>
    <mergeCell ref="B4:C4"/>
    <mergeCell ref="D21:E21"/>
    <mergeCell ref="D22:E22"/>
    <mergeCell ref="B21:C21"/>
    <mergeCell ref="B22:C22"/>
    <mergeCell ref="B24:I24"/>
    <mergeCell ref="B8:C8"/>
    <mergeCell ref="H8:I8"/>
    <mergeCell ref="B16:C16"/>
    <mergeCell ref="B17:C17"/>
    <mergeCell ref="B13:C13"/>
    <mergeCell ref="B14:C14"/>
    <mergeCell ref="B19:C19"/>
    <mergeCell ref="B20:C20"/>
    <mergeCell ref="B5:C5"/>
    <mergeCell ref="B6:C6"/>
    <mergeCell ref="B37:C37"/>
    <mergeCell ref="B25:B26"/>
    <mergeCell ref="B36:C36"/>
    <mergeCell ref="B23:C23"/>
    <mergeCell ref="B28:C28"/>
    <mergeCell ref="B33:C33"/>
    <mergeCell ref="B34:C34"/>
    <mergeCell ref="B35:C35"/>
    <mergeCell ref="B39:C39"/>
    <mergeCell ref="B38:C38"/>
    <mergeCell ref="H30:I30"/>
    <mergeCell ref="H39:I39"/>
    <mergeCell ref="H38:I38"/>
    <mergeCell ref="H37:I37"/>
    <mergeCell ref="F36:I36"/>
    <mergeCell ref="B30:E30"/>
    <mergeCell ref="B31:E31"/>
    <mergeCell ref="B32:E32"/>
    <mergeCell ref="L30:O30"/>
    <mergeCell ref="L31:O31"/>
    <mergeCell ref="E29:F29"/>
    <mergeCell ref="I25:I26"/>
    <mergeCell ref="C26:H26"/>
    <mergeCell ref="C25:H25"/>
    <mergeCell ref="H29:I29"/>
    <mergeCell ref="G27:I27"/>
    <mergeCell ref="B27:F27"/>
  </mergeCells>
  <printOptions/>
  <pageMargins left="0.25" right="0.25" top="0.5" bottom="0" header="0" footer="0"/>
  <pageSetup fitToHeight="1" fitToWidth="1" horizontalDpi="600" verticalDpi="600" orientation="landscape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workbookViewId="0" topLeftCell="A1">
      <selection activeCell="G9" sqref="G9"/>
    </sheetView>
  </sheetViews>
  <sheetFormatPr defaultColWidth="9.140625" defaultRowHeight="12.75"/>
  <cols>
    <col min="1" max="1" width="2.140625" style="0" customWidth="1"/>
    <col min="2" max="2" width="10.57421875" style="0" customWidth="1"/>
    <col min="3" max="3" width="10.7109375" style="0" customWidth="1"/>
    <col min="4" max="4" width="9.7109375" style="0" customWidth="1"/>
    <col min="5" max="5" width="10.140625" style="0" customWidth="1"/>
    <col min="6" max="6" width="10.8515625" style="0" customWidth="1"/>
    <col min="7" max="8" width="7.57421875" style="0" customWidth="1"/>
    <col min="9" max="9" width="3.8515625" style="0" customWidth="1"/>
    <col min="10" max="10" width="14.7109375" style="0" customWidth="1"/>
    <col min="11" max="11" width="12.8515625" style="0" customWidth="1"/>
    <col min="12" max="13" width="13.421875" style="0" customWidth="1"/>
    <col min="14" max="14" width="10.8515625" style="0" customWidth="1"/>
    <col min="15" max="16" width="7.57421875" style="0" customWidth="1"/>
  </cols>
  <sheetData>
    <row r="1" spans="2:17" ht="15" customHeight="1" thickBot="1">
      <c r="B1" s="613" t="s">
        <v>210</v>
      </c>
      <c r="C1" s="613"/>
      <c r="D1" s="613"/>
      <c r="E1" s="613"/>
      <c r="F1" s="332" t="s">
        <v>242</v>
      </c>
      <c r="G1" s="358" t="s">
        <v>184</v>
      </c>
      <c r="H1" s="216"/>
      <c r="I1" s="217"/>
      <c r="J1" s="336"/>
      <c r="K1" s="336"/>
      <c r="L1" s="336"/>
      <c r="M1" s="337"/>
      <c r="N1" s="336"/>
      <c r="O1" s="336"/>
      <c r="P1" s="336"/>
      <c r="Q1" s="78"/>
    </row>
    <row r="2" spans="2:17" ht="13.5" thickBot="1">
      <c r="B2" s="218" t="s">
        <v>0</v>
      </c>
      <c r="C2" s="219" t="s">
        <v>22</v>
      </c>
      <c r="D2" s="219" t="s">
        <v>23</v>
      </c>
      <c r="E2" s="219" t="s">
        <v>24</v>
      </c>
      <c r="F2" s="219" t="s">
        <v>14</v>
      </c>
      <c r="G2" s="414" t="s">
        <v>273</v>
      </c>
      <c r="H2" s="442" t="s">
        <v>274</v>
      </c>
      <c r="I2" s="217"/>
      <c r="K2" s="608" t="s">
        <v>163</v>
      </c>
      <c r="L2" s="583"/>
      <c r="M2" s="584"/>
      <c r="N2" s="338"/>
      <c r="O2" s="612"/>
      <c r="P2" s="612"/>
      <c r="Q2" s="78"/>
    </row>
    <row r="3" spans="2:17" ht="14.25" customHeight="1" thickBot="1">
      <c r="B3" s="360" t="str">
        <f>CONCATENATE(G1," ",VLOOKUP($G$1,'COMM PLAN'!$A$3:$G$11,2))</f>
        <v>PAIN 11</v>
      </c>
      <c r="C3" s="274" t="s">
        <v>315</v>
      </c>
      <c r="D3" s="274" t="s">
        <v>240</v>
      </c>
      <c r="E3" s="274" t="s">
        <v>204</v>
      </c>
      <c r="F3" s="221"/>
      <c r="G3" s="416">
        <f>VLOOKUP($G$1,'COMM PLAN'!$A$3:$G$11,6)</f>
        <v>108</v>
      </c>
      <c r="H3" s="441">
        <v>118</v>
      </c>
      <c r="I3" s="217"/>
      <c r="K3" s="265"/>
      <c r="L3" s="266" t="s">
        <v>166</v>
      </c>
      <c r="M3" s="223" t="s">
        <v>228</v>
      </c>
      <c r="N3" s="336"/>
      <c r="O3" s="612"/>
      <c r="P3" s="612"/>
      <c r="Q3" s="78"/>
    </row>
    <row r="4" spans="2:17" ht="14.25" customHeight="1" thickBot="1">
      <c r="B4" s="361" t="str">
        <f>CONCATENATE(G1," ",VLOOKUP($G$1,'COMM PLAN'!$A$3:$G$11,3))</f>
        <v>PAIN 12</v>
      </c>
      <c r="C4" s="275" t="s">
        <v>316</v>
      </c>
      <c r="D4" s="275" t="s">
        <v>239</v>
      </c>
      <c r="E4" s="275" t="s">
        <v>317</v>
      </c>
      <c r="F4" s="222"/>
      <c r="G4" s="415">
        <f>VLOOKUP($G$1,'COMM PLAN'!$A$3:$G$11,7)</f>
        <v>45</v>
      </c>
      <c r="H4" s="400">
        <v>55</v>
      </c>
      <c r="I4" s="217"/>
      <c r="K4" s="208" t="s">
        <v>109</v>
      </c>
      <c r="L4" s="267" t="s">
        <v>275</v>
      </c>
      <c r="M4" s="227" t="s">
        <v>310</v>
      </c>
      <c r="N4" s="336"/>
      <c r="O4" s="612"/>
      <c r="P4" s="612"/>
      <c r="Q4" s="78"/>
    </row>
    <row r="5" spans="2:17" ht="14.25" customHeight="1" thickBot="1">
      <c r="B5" s="220" t="s">
        <v>12</v>
      </c>
      <c r="C5" s="281" t="s">
        <v>303</v>
      </c>
      <c r="D5" s="220" t="s">
        <v>211</v>
      </c>
      <c r="E5" s="277" t="s">
        <v>308</v>
      </c>
      <c r="F5" s="224" t="s">
        <v>75</v>
      </c>
      <c r="G5" s="225" t="s">
        <v>194</v>
      </c>
      <c r="H5" s="362">
        <f>VLOOKUP($G$1,'COMM PLAN'!$A$3:$G$11,5)</f>
        <v>228.925</v>
      </c>
      <c r="I5" s="217"/>
      <c r="K5" s="212" t="s">
        <v>110</v>
      </c>
      <c r="L5" s="268" t="s">
        <v>111</v>
      </c>
      <c r="M5" s="269" t="s">
        <v>311</v>
      </c>
      <c r="N5" s="302"/>
      <c r="O5" s="334"/>
      <c r="P5" s="334"/>
      <c r="Q5" s="78"/>
    </row>
    <row r="6" spans="2:17" ht="14.25" customHeight="1">
      <c r="B6" s="226" t="s">
        <v>13</v>
      </c>
      <c r="C6" s="282" t="s">
        <v>301</v>
      </c>
      <c r="D6" s="226" t="s">
        <v>212</v>
      </c>
      <c r="E6" s="278" t="s">
        <v>302</v>
      </c>
      <c r="F6" s="228"/>
      <c r="G6" s="229" t="s">
        <v>193</v>
      </c>
      <c r="H6" s="363">
        <f>VLOOKUP($G$1,'COMM PLAN'!$A$3:$G$11,4)</f>
        <v>138.05</v>
      </c>
      <c r="I6" s="217"/>
      <c r="M6" s="339"/>
      <c r="N6" s="302"/>
      <c r="O6" s="334"/>
      <c r="P6" s="334"/>
      <c r="Q6" s="78"/>
    </row>
    <row r="7" spans="2:17" ht="14.25" customHeight="1" thickBot="1">
      <c r="B7" s="230" t="s">
        <v>213</v>
      </c>
      <c r="C7" s="276" t="s">
        <v>318</v>
      </c>
      <c r="D7" s="226" t="s">
        <v>214</v>
      </c>
      <c r="E7" s="279" t="s">
        <v>309</v>
      </c>
      <c r="F7" s="231" t="s">
        <v>215</v>
      </c>
      <c r="G7" s="232" t="s">
        <v>304</v>
      </c>
      <c r="H7" s="443" t="s">
        <v>305</v>
      </c>
      <c r="I7" s="217"/>
      <c r="J7" s="338"/>
      <c r="M7" s="339"/>
      <c r="N7" s="338"/>
      <c r="O7" s="334"/>
      <c r="P7" s="334"/>
      <c r="Q7" s="78"/>
    </row>
    <row r="8" spans="2:17" ht="14.25" customHeight="1" thickBot="1">
      <c r="B8" s="233"/>
      <c r="C8" s="234"/>
      <c r="D8" s="230" t="s">
        <v>216</v>
      </c>
      <c r="E8" s="280">
        <v>260</v>
      </c>
      <c r="F8" s="403"/>
      <c r="G8" s="610" t="s">
        <v>11</v>
      </c>
      <c r="H8" s="611"/>
      <c r="I8" s="217"/>
      <c r="J8" s="338"/>
      <c r="K8" s="608" t="s">
        <v>164</v>
      </c>
      <c r="L8" s="583"/>
      <c r="M8" s="583"/>
      <c r="N8" s="431"/>
      <c r="O8" s="413"/>
      <c r="P8" s="413"/>
      <c r="Q8" s="78"/>
    </row>
    <row r="9" spans="2:17" ht="13.5" thickBot="1">
      <c r="B9" s="235"/>
      <c r="C9" s="236"/>
      <c r="D9" s="619" t="s">
        <v>217</v>
      </c>
      <c r="E9" s="620"/>
      <c r="F9" s="402" t="s">
        <v>25</v>
      </c>
      <c r="G9" s="373">
        <v>10</v>
      </c>
      <c r="H9" s="374">
        <v>15</v>
      </c>
      <c r="I9" s="217"/>
      <c r="J9" s="340"/>
      <c r="K9" s="270"/>
      <c r="L9" s="271" t="s">
        <v>229</v>
      </c>
      <c r="M9" s="430" t="s">
        <v>174</v>
      </c>
      <c r="N9" s="432" t="s">
        <v>269</v>
      </c>
      <c r="O9" s="334"/>
      <c r="P9" s="334"/>
      <c r="Q9" s="78"/>
    </row>
    <row r="10" spans="2:17" ht="14.25" customHeight="1">
      <c r="B10" s="238"/>
      <c r="C10" s="236" t="s">
        <v>218</v>
      </c>
      <c r="D10" s="239" t="s">
        <v>219</v>
      </c>
      <c r="E10" s="283">
        <v>250</v>
      </c>
      <c r="F10" s="401" t="s">
        <v>26</v>
      </c>
      <c r="G10" s="588">
        <v>1500</v>
      </c>
      <c r="H10" s="589"/>
      <c r="I10" s="217"/>
      <c r="J10" s="342"/>
      <c r="K10" s="435" t="s">
        <v>34</v>
      </c>
      <c r="L10" s="436" t="s">
        <v>230</v>
      </c>
      <c r="M10" s="436">
        <v>2.5</v>
      </c>
      <c r="N10" s="440" t="s">
        <v>99</v>
      </c>
      <c r="O10" s="626"/>
      <c r="P10" s="626"/>
      <c r="Q10" s="78"/>
    </row>
    <row r="11" spans="2:17" ht="14.25" customHeight="1" thickBot="1">
      <c r="B11" s="240"/>
      <c r="C11" s="284" t="s">
        <v>306</v>
      </c>
      <c r="D11" s="241" t="s">
        <v>220</v>
      </c>
      <c r="E11" s="400">
        <v>369</v>
      </c>
      <c r="F11" s="242" t="s">
        <v>27</v>
      </c>
      <c r="G11" s="536"/>
      <c r="H11" s="537"/>
      <c r="I11" s="217"/>
      <c r="J11" s="343"/>
      <c r="K11" s="433" t="s">
        <v>231</v>
      </c>
      <c r="L11" s="434" t="s">
        <v>232</v>
      </c>
      <c r="M11" s="437" t="s">
        <v>104</v>
      </c>
      <c r="N11" s="439" t="s">
        <v>105</v>
      </c>
      <c r="O11" s="626"/>
      <c r="P11" s="626"/>
      <c r="Q11" s="78"/>
    </row>
    <row r="12" spans="2:17" ht="14.25" customHeight="1" thickBot="1">
      <c r="B12" s="240"/>
      <c r="C12" s="284" t="s">
        <v>319</v>
      </c>
      <c r="D12" s="619" t="s">
        <v>221</v>
      </c>
      <c r="E12" s="620"/>
      <c r="F12" s="237" t="s">
        <v>1</v>
      </c>
      <c r="G12" s="368">
        <f>IF($G$10=1500,HLOOKUP($G$9,'Told &amp; COF'!$B$2:$G$13,2),IF($G$10=1000,HLOOKUP($G$9,'Told &amp; COF'!$I$2:$N$13,2)))</f>
        <v>98.3</v>
      </c>
      <c r="H12" s="369">
        <f>IF($G$10=1500,HLOOKUP($H$9,'Told &amp; COF'!$B$2:$G$13,2),IF($G$10=1000,HLOOKUP($H$9,'Told &amp; COF'!$I$2:$N$13,2)))</f>
        <v>98.4</v>
      </c>
      <c r="I12" s="217"/>
      <c r="J12" s="343"/>
      <c r="K12" s="445" t="s">
        <v>312</v>
      </c>
      <c r="L12" s="446">
        <v>1709</v>
      </c>
      <c r="M12" s="447">
        <v>3.8</v>
      </c>
      <c r="N12" s="448">
        <f>H14</f>
        <v>4.9</v>
      </c>
      <c r="O12" s="344"/>
      <c r="P12" s="344"/>
      <c r="Q12" s="78"/>
    </row>
    <row r="13" spans="2:17" ht="14.25" customHeight="1" thickBot="1">
      <c r="B13" s="244"/>
      <c r="C13" s="245"/>
      <c r="D13" s="246" t="s">
        <v>222</v>
      </c>
      <c r="E13" s="283">
        <v>285</v>
      </c>
      <c r="F13" s="237" t="s">
        <v>2</v>
      </c>
      <c r="G13" s="368">
        <f>IF($G$10=1500,HLOOKUP($G$9,'Told &amp; COF'!$B$2:$G$13,3),IF($G$10=1000,HLOOKUP($G$9,'Told &amp; COF'!$I$2:$N$13,3)))</f>
        <v>96.7</v>
      </c>
      <c r="H13" s="370">
        <f>IF($G$10=1500,HLOOKUP($H$9,'Told &amp; COF'!$B$2:$G$13,3),IF($G$10=1000,HLOOKUP($H$9,'Told &amp; COF'!$I$2:$N$13,3)))</f>
        <v>96.7</v>
      </c>
      <c r="I13" s="217"/>
      <c r="J13" s="345"/>
      <c r="K13" s="449" t="s">
        <v>323</v>
      </c>
      <c r="L13" s="157">
        <v>1000</v>
      </c>
      <c r="M13" s="157">
        <v>3.3</v>
      </c>
      <c r="N13" s="438">
        <f>H14</f>
        <v>4.9</v>
      </c>
      <c r="O13" s="344"/>
      <c r="P13" s="344"/>
      <c r="Q13" s="78"/>
    </row>
    <row r="14" spans="2:17" ht="14.25" customHeight="1" thickBot="1">
      <c r="B14" s="247"/>
      <c r="C14" s="248"/>
      <c r="D14" s="249" t="s">
        <v>100</v>
      </c>
      <c r="E14" s="280">
        <v>412</v>
      </c>
      <c r="F14" s="237" t="s">
        <v>3</v>
      </c>
      <c r="G14" s="368">
        <f>IF($B$46=FALSE,IF($G$10=1500,HLOOKUP($G$9,'Told &amp; COF'!$B$2:$G$13,4),IF($G$10=1000,HLOOKUP($G$9,'Told &amp; COF'!$I$2:$N$13,4))),IF($G$10=1500,HLOOKUP($G$9,'Told &amp; COF'!$B$2:$G$22,14),IF($G$10=1000,HLOOKUP($G$9,'Told &amp; COF'!$I$2:$N$22,14))))</f>
        <v>5.2</v>
      </c>
      <c r="H14" s="369">
        <f>IF($B$46=FALSE,IF($G$10=1500,HLOOKUP($H$9,'Told &amp; COF'!$B$2:$G$13,4),IF($G$10=1000,HLOOKUP($H$9,'Told &amp; COF'!$I$2:$N$13,4))),IF($G$10=1500,HLOOKUP($H$9,'Told &amp; COF'!$B$2:$G$22,14),IF($G$10=1000,HLOOKUP($H$9,'Told &amp; COF'!$I$2:$N$22,14))))</f>
        <v>4.9</v>
      </c>
      <c r="I14" s="217"/>
      <c r="J14" s="347"/>
      <c r="K14" s="348"/>
      <c r="L14" s="346"/>
      <c r="M14" s="338"/>
      <c r="N14" s="333"/>
      <c r="O14" s="344"/>
      <c r="P14" s="344"/>
      <c r="Q14" s="78"/>
    </row>
    <row r="15" spans="2:17" ht="14.25" customHeight="1" thickBot="1">
      <c r="B15" s="250"/>
      <c r="C15" s="243"/>
      <c r="D15" s="251" t="s">
        <v>243</v>
      </c>
      <c r="E15" s="359">
        <f>E11+E14</f>
        <v>781</v>
      </c>
      <c r="F15" s="237" t="s">
        <v>4</v>
      </c>
      <c r="G15" s="371">
        <f>IF($B$46=FALSE,IF($G$10=1500,HLOOKUP($G$9,'Told &amp; COF'!$B$2:$G$13,5),IF($G$10=1000,HLOOKUP($G$9,'Told &amp; COF'!$I$2:$N$13,5))),IF($G$10=1500,HLOOKUP($G$9,'Told &amp; COF'!$B$2:$G$22,15),IF($G$10=1000,HLOOKUP($G$9,'Told &amp; COF'!$I$2:$N$22,15))))</f>
        <v>4015</v>
      </c>
      <c r="H15" s="372">
        <f>IF($B$46=FALSE,IF($G$10=1500,HLOOKUP($H$9,'Told &amp; COF'!$B$2:$G$13,5),IF($G$10=1000,HLOOKUP($H$9,'Told &amp; COF'!$I$2:$N$13,5))),IF($G$10=1500,HLOOKUP($H$9,'Told &amp; COF'!$B$2:$G$22,15),IF($G$10=1000,HLOOKUP($H$9,'Told &amp; COF'!$I$2:$N$22,15))))</f>
        <v>4223</v>
      </c>
      <c r="I15" s="217"/>
      <c r="J15" s="341"/>
      <c r="K15" s="628" t="s">
        <v>259</v>
      </c>
      <c r="L15" s="629"/>
      <c r="M15" s="340"/>
      <c r="N15" s="333"/>
      <c r="O15" s="349"/>
      <c r="P15" s="349"/>
      <c r="Q15" s="78"/>
    </row>
    <row r="16" spans="2:17" ht="14.25" customHeight="1">
      <c r="B16" s="244"/>
      <c r="C16" s="236" t="s">
        <v>300</v>
      </c>
      <c r="D16" s="246" t="s">
        <v>27</v>
      </c>
      <c r="E16" s="283" t="s">
        <v>327</v>
      </c>
      <c r="F16" s="237" t="s">
        <v>89</v>
      </c>
      <c r="G16" s="371">
        <f>IF($B$46=FALSE,IF($G$10=1500,HLOOKUP($G$9,'Told &amp; COF'!$B$2:$G$13,6),IF($G$10=1000,HLOOKUP($G$9,'Told &amp; COF'!$I$2:$N$13,6))),IF($G$10=1500,HLOOKUP($G$9,'Told &amp; COF'!$B$2:$G$22,16),IF($G$10=1000,HLOOKUP($G$9,'Told &amp; COF'!$I$2:$N$22,16))))</f>
        <v>4098</v>
      </c>
      <c r="H16" s="372">
        <f>IF($B$46=FALSE,IF($G$10=1500,HLOOKUP($H$9,'Told &amp; COF'!$B$2:$G$13,6),IF($G$10=1000,HLOOKUP($H$9,'Told &amp; COF'!$I$2:$N$13,6))),IF($G$10=1500,HLOOKUP($H$9,'Told &amp; COF'!$B$2:$G$22,16),IF($G$10=1000,HLOOKUP($H$9,'Told &amp; COF'!$I$2:$N$22,16))))</f>
        <v>4379</v>
      </c>
      <c r="I16" s="217"/>
      <c r="J16" s="345"/>
      <c r="K16" s="398" t="s">
        <v>308</v>
      </c>
      <c r="L16" s="396"/>
      <c r="M16" s="338"/>
      <c r="N16" s="333"/>
      <c r="O16" s="349"/>
      <c r="P16" s="349"/>
      <c r="Q16" s="78"/>
    </row>
    <row r="17" spans="2:17" ht="14.25" customHeight="1" thickBot="1">
      <c r="B17" s="252"/>
      <c r="C17" s="285" t="s">
        <v>307</v>
      </c>
      <c r="D17" s="241" t="s">
        <v>25</v>
      </c>
      <c r="E17" s="280">
        <v>-34</v>
      </c>
      <c r="F17" s="237" t="s">
        <v>5</v>
      </c>
      <c r="G17" s="371">
        <f>IF($B$46=FALSE,IF($G$10=1500,HLOOKUP($G$9,'Told &amp; COF'!$B$2:$G$13,7),IF($G$10=1000,HLOOKUP($G$9,'Told &amp; COF'!$I$2:$N$13,7))),IF($G$10=1500,HLOOKUP($G$9,'Told &amp; COF'!$B$2:$G$22,17),IF($G$10=1000,HLOOKUP($G$9,'Told &amp; COF'!$I$2:$N$22,17))))</f>
        <v>99</v>
      </c>
      <c r="H17" s="372">
        <f>IF($B$46=FALSE,IF($G$10=1500,HLOOKUP($H$9,'Told &amp; COF'!$B$2:$G$13,7),IF($G$10=1000,HLOOKUP($H$9,'Told &amp; COF'!$I$2:$N$13,7))),IF($G$10=1500,HLOOKUP($H$9,'Told &amp; COF'!$B$2:$G$22,17),IF($G$10=1000,HLOOKUP($H$9,'Told &amp; COF'!$I$2:$N$22,17))))</f>
        <v>101</v>
      </c>
      <c r="I17" s="217"/>
      <c r="J17" s="336"/>
      <c r="K17" s="399"/>
      <c r="L17" s="397"/>
      <c r="M17" s="338"/>
      <c r="N17" s="333"/>
      <c r="O17" s="349"/>
      <c r="P17" s="349"/>
      <c r="Q17" s="78"/>
    </row>
    <row r="18" spans="2:17" ht="14.25" customHeight="1" thickBot="1">
      <c r="B18" s="287" t="s">
        <v>321</v>
      </c>
      <c r="C18" s="286" t="s">
        <v>320</v>
      </c>
      <c r="D18" s="253"/>
      <c r="E18" s="254"/>
      <c r="F18" s="237" t="s">
        <v>10</v>
      </c>
      <c r="G18" s="371">
        <f>IF($B$46=FALSE,IF($G$10=1500,HLOOKUP($G$9,'Told &amp; COF'!$B$2:$G$13,8),IF($G$10=1000,HLOOKUP($G$9,'Told &amp; COF'!$I$2:$N$13,8))),"")</f>
        <v>142</v>
      </c>
      <c r="H18" s="372">
        <f>IF($B$46=FALSE,IF($G$10=1500,HLOOKUP($H$9,'Told &amp; COF'!$B$2:$G$13,8),IF($G$10=1000,HLOOKUP($H$9,'Told &amp; COF'!$I$2:$N$13,8))),"")</f>
        <v>140</v>
      </c>
      <c r="I18" s="217"/>
      <c r="J18" s="339"/>
      <c r="K18" s="329"/>
      <c r="L18" s="302"/>
      <c r="M18" s="345"/>
      <c r="N18" s="333"/>
      <c r="O18" s="349"/>
      <c r="P18" s="349"/>
      <c r="Q18" s="78"/>
    </row>
    <row r="19" spans="2:17" ht="13.5" thickBot="1">
      <c r="B19" s="255" t="s">
        <v>313</v>
      </c>
      <c r="C19" s="452" t="s">
        <v>328</v>
      </c>
      <c r="D19" s="288">
        <v>0</v>
      </c>
      <c r="E19" s="451">
        <v>-5</v>
      </c>
      <c r="F19" s="237" t="s">
        <v>6</v>
      </c>
      <c r="G19" s="371">
        <f>IF($B$46=FALSE,IF($G$10=1500,HLOOKUP($G$9,'Told &amp; COF'!$B$2:$G$13,9),IF($G$10=1000,HLOOKUP($G$9,'Told &amp; COF'!$I$2:$N$13,9))),IF($G$10=1500,HLOOKUP($G$9,'Told &amp; COF'!$B$2:$G$22,18),IF($G$10=1000,HLOOKUP($G$9,'Told &amp; COF'!$I$2:$N$22,18))))</f>
        <v>136</v>
      </c>
      <c r="H19" s="372">
        <f>IF($B$46=FALSE,IF($G$10=1500,HLOOKUP($H$9,'Told &amp; COF'!$B$2:$G$13,9),IF($G$10=1000,HLOOKUP($H$9,'Told &amp; COF'!$I$2:$N$13,9))),IF($G$10=1500,HLOOKUP($H$9,'Told &amp; COF'!$B$2:$G$22,18),IF($G$10=1000,HLOOKUP($H$9,'Told &amp; COF'!$I$2:$N$22,18))))</f>
        <v>135</v>
      </c>
      <c r="I19" s="217"/>
      <c r="J19" s="350"/>
      <c r="K19" s="338"/>
      <c r="L19" s="340"/>
      <c r="M19" s="338"/>
      <c r="N19" s="333"/>
      <c r="O19" s="349"/>
      <c r="P19" s="349"/>
      <c r="Q19" s="78"/>
    </row>
    <row r="20" spans="2:17" ht="13.5" thickBot="1">
      <c r="B20" s="395" t="s">
        <v>223</v>
      </c>
      <c r="C20" s="289">
        <v>15</v>
      </c>
      <c r="D20" s="289">
        <v>16</v>
      </c>
      <c r="E20" s="279">
        <v>17</v>
      </c>
      <c r="F20" s="237" t="s">
        <v>7</v>
      </c>
      <c r="G20" s="371">
        <f>IF($B$46=FALSE,IF($G$10=1500,HLOOKUP($G$9,'Told &amp; COF'!$B$2:$G$13,10),IF($G$10=1000,HLOOKUP($G$9,'Told &amp; COF'!$I$2:$N$13,10))),IF($G$10=1500,HLOOKUP($G$9,'Told &amp; COF'!$B$2:$G$22,19),IF($G$10=1000,HLOOKUP($G$9,'Told &amp; COF'!$I$2:$N$22,19))))</f>
        <v>115</v>
      </c>
      <c r="H20" s="372">
        <f>IF($B$46=FALSE,IF($G$10=1500,HLOOKUP($H$9,'Told &amp; COF'!$B$2:$G$13,10),IF($G$10=1000,HLOOKUP($H$9,'Told &amp; COF'!$I$2:$N$13,10))),IF($G$10=1500,HLOOKUP($H$9,'Told &amp; COF'!$B$2:$G$22,19),IF($G$10=1000,HLOOKUP($H$9,'Told &amp; COF'!$I$2:$N$22,19))))</f>
        <v>115</v>
      </c>
      <c r="I20" s="217"/>
      <c r="J20" s="338"/>
      <c r="K20" s="624" t="s">
        <v>255</v>
      </c>
      <c r="L20" s="625"/>
      <c r="M20" s="338"/>
      <c r="N20" s="333"/>
      <c r="O20" s="349"/>
      <c r="P20" s="349"/>
      <c r="Q20" s="78"/>
    </row>
    <row r="21" spans="2:17" ht="13.5" thickBot="1">
      <c r="B21" s="256" t="s">
        <v>224</v>
      </c>
      <c r="C21" s="290">
        <v>6</v>
      </c>
      <c r="D21" s="290">
        <v>7</v>
      </c>
      <c r="E21" s="291">
        <v>8</v>
      </c>
      <c r="F21" s="237" t="s">
        <v>8</v>
      </c>
      <c r="G21" s="371">
        <f>IF($B$46=FALSE,IF($G$10=1500,HLOOKUP($G$9,'Told &amp; COF'!$B$2:$G$13,11),IF($G$10=1000,HLOOKUP($G$9,'Told &amp; COF'!$I$2:$N$13,11))),IF($G$10=1500,HLOOKUP($G$9,'Told &amp; COF'!$B$2:$G$22,20),IF($G$10=1000,HLOOKUP($G$9,'Told &amp; COF'!$I$2:$N$22,20))))</f>
        <v>123</v>
      </c>
      <c r="H21" s="372">
        <f>IF($B$46=FALSE,IF($G$10=1500,HLOOKUP($H$9,'Told &amp; COF'!$B$2:$G$13,11),IF($G$10=1000,HLOOKUP($H$9,'Told &amp; COF'!$I$2:$N$13,11))),IF($G$10=1500,HLOOKUP($H$9,'Told &amp; COF'!$B$2:$G$22,20),IF($G$10=1000,HLOOKUP($H$9,'Told &amp; COF'!$I$2:$N$22,20))))</f>
        <v>123</v>
      </c>
      <c r="I21" s="217"/>
      <c r="J21" s="350"/>
      <c r="K21" s="404" t="s">
        <v>256</v>
      </c>
      <c r="L21" s="405" t="s">
        <v>260</v>
      </c>
      <c r="M21" s="338"/>
      <c r="N21" s="333"/>
      <c r="O21" s="349"/>
      <c r="P21" s="349"/>
      <c r="Q21" s="78"/>
    </row>
    <row r="22" spans="2:17" ht="12.75">
      <c r="B22" s="255" t="s">
        <v>225</v>
      </c>
      <c r="C22" s="393">
        <v>25</v>
      </c>
      <c r="D22" s="393">
        <v>30</v>
      </c>
      <c r="E22" s="394">
        <v>35</v>
      </c>
      <c r="F22" s="237" t="s">
        <v>9</v>
      </c>
      <c r="G22" s="371">
        <f>IF($B$46=FALSE,IF($G$10=1500,HLOOKUP($G$9,'Told &amp; COF'!$B$2:$G$13,12),IF($G$10=1000,HLOOKUP($G$9,'Told &amp; COF'!$I$2:$N$13,12))),IF($G$10=1500,HLOOKUP($G$9,'Told &amp; COF'!$B$2:$G$22,21),IF($G$10=1000,HLOOKUP($G$9,'Told &amp; COF'!$I$2:$N$22,21))))</f>
        <v>115</v>
      </c>
      <c r="H22" s="372">
        <f>IF($B$46=FALSE,IF($G$10=1500,HLOOKUP($H$9,'Told &amp; COF'!$B$2:$G$13,12),IF($G$10=1000,HLOOKUP($H$9,'Told &amp; COF'!$I$2:$N$13,12))),IF($G$10=1500,HLOOKUP($H$9,'Told &amp; COF'!$B$2:$G$22,21),IF($G$10=1000,HLOOKUP($H$9,'Told &amp; COF'!$I$2:$N$22,21))))</f>
        <v>115</v>
      </c>
      <c r="I22" s="217"/>
      <c r="J22" s="302"/>
      <c r="K22" s="380" t="s">
        <v>323</v>
      </c>
      <c r="L22" s="381" t="s">
        <v>260</v>
      </c>
      <c r="M22" s="336"/>
      <c r="N22" s="333"/>
      <c r="O22" s="349"/>
      <c r="P22" s="349"/>
      <c r="Q22" s="78"/>
    </row>
    <row r="23" spans="2:17" ht="13.5" thickBot="1">
      <c r="B23" s="450" t="s">
        <v>329</v>
      </c>
      <c r="C23" s="407">
        <v>0.02847222222222222</v>
      </c>
      <c r="D23" s="407">
        <v>0.044444444444444446</v>
      </c>
      <c r="E23" s="408">
        <v>0.06041666666666667</v>
      </c>
      <c r="F23" s="133" t="s">
        <v>258</v>
      </c>
      <c r="G23" s="371">
        <f>IF($B$46=FALSE,IF($G$10=1500,HLOOKUP($G$9,'Told &amp; COF'!$B$2:$G$13,5),IF($G$10=1000,HLOOKUP($G$9,'Told &amp; COF'!$I$2:$N$13,5))),IF($G$10=1500,HLOOKUP($G$9,'Told &amp; COF'!$B$2:$G$23,22),IF($G$10=1000,HLOOKUP($G$9,'Told &amp; COF'!$I$2:$N$23,22))))</f>
        <v>4015</v>
      </c>
      <c r="H23" s="375">
        <f>IF($B$46=FALSE,IF($G$10=1500,HLOOKUP($H$9,'Told &amp; COF'!$B$2:$G$13,5),IF($G$10=1000,HLOOKUP($H$9,'Told &amp; COF'!$I$2:$N$13,5))),IF($G$10=1500,HLOOKUP($H$9,'Told &amp; COF'!$B$2:$G$23,22),IF($G$10=1000,HLOOKUP($H$9,'Told &amp; COF'!$I$2:$N$23,22))))</f>
        <v>4223</v>
      </c>
      <c r="I23" s="217"/>
      <c r="J23" s="341"/>
      <c r="K23" s="382"/>
      <c r="L23" s="381"/>
      <c r="M23" s="341"/>
      <c r="N23" s="302"/>
      <c r="O23" s="349"/>
      <c r="P23" s="349"/>
      <c r="Q23" s="78"/>
    </row>
    <row r="24" spans="2:17" ht="13.5" thickBot="1">
      <c r="B24" s="257" t="s">
        <v>20</v>
      </c>
      <c r="C24" s="258"/>
      <c r="D24" s="258"/>
      <c r="E24" s="258"/>
      <c r="F24" s="258"/>
      <c r="G24" s="258"/>
      <c r="H24" s="259"/>
      <c r="I24" s="217"/>
      <c r="J24" s="351"/>
      <c r="K24" s="383"/>
      <c r="L24" s="384"/>
      <c r="M24" s="336"/>
      <c r="N24" s="336"/>
      <c r="O24" s="336"/>
      <c r="P24" s="333"/>
      <c r="Q24" s="78"/>
    </row>
    <row r="25" spans="2:17" ht="12.75">
      <c r="B25" s="260" t="s">
        <v>226</v>
      </c>
      <c r="C25" s="216"/>
      <c r="D25" s="216"/>
      <c r="E25" s="216"/>
      <c r="F25" s="216"/>
      <c r="G25" s="216"/>
      <c r="H25" s="261"/>
      <c r="I25" s="217"/>
      <c r="J25" s="352"/>
      <c r="M25" s="336"/>
      <c r="N25" s="336"/>
      <c r="O25" s="336"/>
      <c r="P25" s="333"/>
      <c r="Q25" s="78"/>
    </row>
    <row r="26" spans="2:17" ht="13.5" thickBot="1">
      <c r="B26" s="252"/>
      <c r="C26" s="216"/>
      <c r="D26" s="216"/>
      <c r="E26" s="216"/>
      <c r="F26" s="216"/>
      <c r="G26" s="216"/>
      <c r="H26" s="261"/>
      <c r="I26" s="217"/>
      <c r="J26" s="336"/>
      <c r="M26" s="336"/>
      <c r="N26" s="336"/>
      <c r="O26" s="336"/>
      <c r="P26" s="333"/>
      <c r="Q26" s="78"/>
    </row>
    <row r="27" spans="2:17" ht="13.5" thickBot="1">
      <c r="B27" s="616" t="s">
        <v>314</v>
      </c>
      <c r="C27" s="617"/>
      <c r="D27" s="618" t="s">
        <v>322</v>
      </c>
      <c r="E27" s="618"/>
      <c r="F27" s="621" t="s">
        <v>330</v>
      </c>
      <c r="G27" s="618"/>
      <c r="H27" s="622"/>
      <c r="I27" s="217"/>
      <c r="J27" s="302"/>
      <c r="M27" s="412"/>
      <c r="N27" s="627"/>
      <c r="O27" s="627"/>
      <c r="P27" s="627"/>
      <c r="Q27" s="78"/>
    </row>
    <row r="28" spans="2:17" ht="12.75">
      <c r="B28" s="262" t="s">
        <v>227</v>
      </c>
      <c r="C28" s="258"/>
      <c r="D28" s="258"/>
      <c r="E28" s="258"/>
      <c r="F28" s="258"/>
      <c r="G28" s="258"/>
      <c r="H28" s="263"/>
      <c r="I28" s="217"/>
      <c r="J28" s="353"/>
      <c r="M28" s="336"/>
      <c r="N28" s="336"/>
      <c r="O28" s="336"/>
      <c r="P28" s="336"/>
      <c r="Q28" s="78"/>
    </row>
    <row r="29" spans="2:17" ht="15" customHeight="1">
      <c r="B29" s="614" t="s">
        <v>324</v>
      </c>
      <c r="C29" s="615"/>
      <c r="D29" s="615"/>
      <c r="E29" s="615"/>
      <c r="F29" s="615"/>
      <c r="G29" s="216"/>
      <c r="H29" s="264"/>
      <c r="I29" s="217"/>
      <c r="J29" s="352"/>
      <c r="M29" s="336"/>
      <c r="N29" s="336"/>
      <c r="O29" s="336"/>
      <c r="P29" s="336"/>
      <c r="Q29" s="78"/>
    </row>
    <row r="30" spans="2:17" ht="16.5" customHeight="1">
      <c r="B30" s="614" t="s">
        <v>325</v>
      </c>
      <c r="C30" s="615"/>
      <c r="D30" s="615"/>
      <c r="E30" s="615"/>
      <c r="F30" s="615"/>
      <c r="G30" s="216"/>
      <c r="H30" s="264"/>
      <c r="I30" s="217"/>
      <c r="J30" s="352"/>
      <c r="M30" s="336"/>
      <c r="N30" s="336"/>
      <c r="O30" s="336"/>
      <c r="P30" s="336"/>
      <c r="Q30" s="78"/>
    </row>
    <row r="31" spans="2:17" ht="17.25" customHeight="1">
      <c r="B31" s="614" t="s">
        <v>326</v>
      </c>
      <c r="C31" s="615"/>
      <c r="D31" s="615"/>
      <c r="E31" s="615"/>
      <c r="F31" s="615"/>
      <c r="G31" s="216"/>
      <c r="H31" s="264"/>
      <c r="I31" s="217"/>
      <c r="J31" s="352"/>
      <c r="K31" s="336"/>
      <c r="L31" s="336"/>
      <c r="M31" s="336"/>
      <c r="N31" s="336"/>
      <c r="O31" s="336"/>
      <c r="P31" s="336"/>
      <c r="Q31" s="78"/>
    </row>
    <row r="32" spans="2:17" ht="12.75" customHeight="1" thickBot="1">
      <c r="B32" s="428"/>
      <c r="H32" s="427"/>
      <c r="I32" s="217"/>
      <c r="J32" s="118"/>
      <c r="K32" s="118"/>
      <c r="L32" s="532"/>
      <c r="M32" s="532"/>
      <c r="N32" s="532"/>
      <c r="O32" s="609"/>
      <c r="P32" s="609"/>
      <c r="Q32" s="78"/>
    </row>
    <row r="33" spans="2:17" ht="12.75" customHeight="1" thickBot="1">
      <c r="B33" s="142" t="s">
        <v>100</v>
      </c>
      <c r="C33" s="143" t="s">
        <v>101</v>
      </c>
      <c r="G33" s="417"/>
      <c r="H33" s="418"/>
      <c r="I33" s="217"/>
      <c r="J33" s="174"/>
      <c r="K33" s="174"/>
      <c r="L33" s="174"/>
      <c r="M33" s="339"/>
      <c r="N33" s="339"/>
      <c r="O33" s="609"/>
      <c r="P33" s="609"/>
      <c r="Q33" s="78"/>
    </row>
    <row r="34" spans="2:17" ht="12.75" customHeight="1" thickBot="1">
      <c r="B34" s="93">
        <v>150</v>
      </c>
      <c r="C34" s="148">
        <v>24</v>
      </c>
      <c r="G34" s="630" t="s">
        <v>160</v>
      </c>
      <c r="H34" s="631"/>
      <c r="I34" s="217"/>
      <c r="J34" s="174"/>
      <c r="K34" s="174"/>
      <c r="L34" s="174"/>
      <c r="M34" s="339"/>
      <c r="N34" s="339"/>
      <c r="O34" s="607"/>
      <c r="P34" s="607"/>
      <c r="Q34" s="78"/>
    </row>
    <row r="35" spans="2:17" ht="12.75" customHeight="1">
      <c r="B35" s="153">
        <v>200</v>
      </c>
      <c r="C35" s="154">
        <v>18</v>
      </c>
      <c r="G35" s="600" t="s">
        <v>233</v>
      </c>
      <c r="H35" s="635"/>
      <c r="I35" s="217"/>
      <c r="J35" s="174"/>
      <c r="K35" s="174"/>
      <c r="L35" s="174"/>
      <c r="M35" s="354"/>
      <c r="N35" s="339"/>
      <c r="O35" s="607"/>
      <c r="P35" s="607"/>
      <c r="Q35" s="78"/>
    </row>
    <row r="36" spans="2:17" ht="12.75" customHeight="1">
      <c r="B36" s="153">
        <v>250</v>
      </c>
      <c r="C36" s="154">
        <v>14</v>
      </c>
      <c r="G36" s="632" t="s">
        <v>234</v>
      </c>
      <c r="H36" s="575"/>
      <c r="I36" s="217"/>
      <c r="J36" s="174"/>
      <c r="K36" s="174"/>
      <c r="L36" s="532"/>
      <c r="M36" s="532"/>
      <c r="N36" s="532"/>
      <c r="O36" s="607"/>
      <c r="P36" s="607"/>
      <c r="Q36" s="78"/>
    </row>
    <row r="37" spans="2:17" ht="12.75" customHeight="1">
      <c r="B37" s="153">
        <v>300</v>
      </c>
      <c r="C37" s="154">
        <v>12</v>
      </c>
      <c r="G37" s="632" t="s">
        <v>235</v>
      </c>
      <c r="H37" s="575"/>
      <c r="I37" s="217"/>
      <c r="J37" s="174"/>
      <c r="K37" s="174"/>
      <c r="L37" s="355"/>
      <c r="M37" s="118"/>
      <c r="N37" s="356"/>
      <c r="O37" s="607"/>
      <c r="P37" s="607"/>
      <c r="Q37" s="78"/>
    </row>
    <row r="38" spans="2:17" ht="12.75" customHeight="1">
      <c r="B38" s="153">
        <v>400</v>
      </c>
      <c r="C38" s="154">
        <v>9</v>
      </c>
      <c r="G38" s="632" t="s">
        <v>236</v>
      </c>
      <c r="H38" s="575"/>
      <c r="I38" s="217"/>
      <c r="J38" s="174"/>
      <c r="K38" s="174"/>
      <c r="L38" s="118"/>
      <c r="M38" s="174"/>
      <c r="N38" s="357"/>
      <c r="O38" s="607"/>
      <c r="P38" s="607"/>
      <c r="Q38" s="78"/>
    </row>
    <row r="39" spans="2:17" ht="13.5" customHeight="1" thickBot="1">
      <c r="B39" s="163">
        <v>450</v>
      </c>
      <c r="C39" s="164">
        <v>8</v>
      </c>
      <c r="D39" s="426"/>
      <c r="E39" s="426"/>
      <c r="F39" s="427"/>
      <c r="G39" s="633" t="s">
        <v>237</v>
      </c>
      <c r="H39" s="634"/>
      <c r="I39" s="217"/>
      <c r="J39" s="345"/>
      <c r="K39" s="345"/>
      <c r="L39" s="335"/>
      <c r="M39" s="309"/>
      <c r="N39" s="309"/>
      <c r="O39" s="623"/>
      <c r="P39" s="623"/>
      <c r="Q39" s="78"/>
    </row>
    <row r="40" spans="2:17" ht="12.75">
      <c r="B40" s="272" t="s">
        <v>112</v>
      </c>
      <c r="C40" s="273"/>
      <c r="D40" s="273"/>
      <c r="E40" s="273"/>
      <c r="F40" s="273"/>
      <c r="G40" s="309"/>
      <c r="H40" s="309"/>
      <c r="I40" s="217"/>
      <c r="J40" s="341"/>
      <c r="K40" s="336"/>
      <c r="L40" s="336"/>
      <c r="M40" s="336"/>
      <c r="N40" s="336"/>
      <c r="O40" s="336"/>
      <c r="P40" s="336"/>
      <c r="Q40" s="78"/>
    </row>
    <row r="46" ht="12.75" hidden="1">
      <c r="B46" t="b">
        <v>0</v>
      </c>
    </row>
  </sheetData>
  <sheetProtection/>
  <mergeCells count="37">
    <mergeCell ref="G34:H34"/>
    <mergeCell ref="G37:H37"/>
    <mergeCell ref="G38:H38"/>
    <mergeCell ref="G39:H39"/>
    <mergeCell ref="G36:H36"/>
    <mergeCell ref="G35:H35"/>
    <mergeCell ref="O39:P39"/>
    <mergeCell ref="O36:P36"/>
    <mergeCell ref="K20:L20"/>
    <mergeCell ref="O10:P10"/>
    <mergeCell ref="O11:P11"/>
    <mergeCell ref="N27:P27"/>
    <mergeCell ref="L32:N32"/>
    <mergeCell ref="O37:P37"/>
    <mergeCell ref="K15:L15"/>
    <mergeCell ref="L36:N36"/>
    <mergeCell ref="B1:E1"/>
    <mergeCell ref="B29:F29"/>
    <mergeCell ref="B30:F30"/>
    <mergeCell ref="B31:F31"/>
    <mergeCell ref="B27:C27"/>
    <mergeCell ref="D27:E27"/>
    <mergeCell ref="D12:E12"/>
    <mergeCell ref="D9:E9"/>
    <mergeCell ref="F27:H27"/>
    <mergeCell ref="G10:H10"/>
    <mergeCell ref="G11:H11"/>
    <mergeCell ref="G8:H8"/>
    <mergeCell ref="O2:P2"/>
    <mergeCell ref="O3:P3"/>
    <mergeCell ref="O4:P4"/>
    <mergeCell ref="O38:P38"/>
    <mergeCell ref="O34:P34"/>
    <mergeCell ref="O35:P35"/>
    <mergeCell ref="K2:M2"/>
    <mergeCell ref="K8:M8"/>
    <mergeCell ref="O32:P33"/>
  </mergeCells>
  <printOptions/>
  <pageMargins left="0.21" right="0.23" top="1" bottom="0.5" header="0.5" footer="0.5"/>
  <pageSetup fitToHeight="1" fitToWidth="1" horizontalDpi="360" verticalDpi="36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workbookViewId="0" topLeftCell="A4">
      <selection activeCell="K21" sqref="K21:M21"/>
    </sheetView>
  </sheetViews>
  <sheetFormatPr defaultColWidth="9.140625" defaultRowHeight="12.75"/>
  <cols>
    <col min="1" max="1" width="2.140625" style="89" customWidth="1"/>
    <col min="2" max="2" width="5.140625" style="89" customWidth="1"/>
    <col min="3" max="4" width="4.28125" style="89" customWidth="1"/>
    <col min="5" max="5" width="4.8515625" style="89" customWidth="1"/>
    <col min="6" max="14" width="4.28125" style="89" customWidth="1"/>
    <col min="15" max="15" width="6.00390625" style="89" customWidth="1"/>
    <col min="16" max="16" width="5.57421875" style="89" customWidth="1"/>
    <col min="17" max="17" width="6.140625" style="89" customWidth="1"/>
    <col min="18" max="18" width="4.28125" style="89" customWidth="1"/>
    <col min="19" max="19" width="9.00390625" style="89" customWidth="1"/>
    <col min="20" max="20" width="9.7109375" style="89" customWidth="1"/>
    <col min="21" max="21" width="10.00390625" style="89" customWidth="1"/>
    <col min="22" max="22" width="8.7109375" style="89" customWidth="1"/>
    <col min="23" max="23" width="9.421875" style="89" customWidth="1"/>
    <col min="24" max="24" width="12.28125" style="89" customWidth="1"/>
    <col min="25" max="25" width="8.8515625" style="89" customWidth="1"/>
    <col min="26" max="36" width="4.28125" style="89" customWidth="1"/>
    <col min="37" max="16384" width="9.140625" style="89" customWidth="1"/>
  </cols>
  <sheetData>
    <row r="1" spans="1:36" ht="15.75" customHeight="1" thickBot="1">
      <c r="A1" s="526"/>
      <c r="B1" s="598" t="s">
        <v>113</v>
      </c>
      <c r="C1" s="598"/>
      <c r="D1" s="598"/>
      <c r="E1" s="598"/>
      <c r="F1" s="598"/>
      <c r="G1" s="598"/>
      <c r="H1" s="598"/>
      <c r="I1" s="598"/>
      <c r="J1" s="598"/>
      <c r="K1" s="598"/>
      <c r="L1" s="642" t="s">
        <v>242</v>
      </c>
      <c r="M1" s="642"/>
      <c r="N1" s="642"/>
      <c r="O1" s="643" t="s">
        <v>189</v>
      </c>
      <c r="P1" s="643"/>
      <c r="Q1" s="643"/>
      <c r="R1" s="376"/>
      <c r="S1" s="299"/>
      <c r="T1" s="292"/>
      <c r="U1" s="292"/>
      <c r="V1" s="292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526"/>
    </row>
    <row r="2" spans="1:36" ht="9" customHeight="1">
      <c r="A2" s="526"/>
      <c r="B2" s="649" t="s">
        <v>0</v>
      </c>
      <c r="C2" s="650"/>
      <c r="D2" s="650"/>
      <c r="E2" s="650" t="s">
        <v>22</v>
      </c>
      <c r="F2" s="650"/>
      <c r="G2" s="650"/>
      <c r="H2" s="650" t="s">
        <v>23</v>
      </c>
      <c r="I2" s="650"/>
      <c r="J2" s="650"/>
      <c r="K2" s="650" t="s">
        <v>24</v>
      </c>
      <c r="L2" s="650"/>
      <c r="M2" s="650"/>
      <c r="N2" s="650" t="s">
        <v>114</v>
      </c>
      <c r="O2" s="650"/>
      <c r="P2" s="678" t="s">
        <v>115</v>
      </c>
      <c r="Q2" s="679"/>
      <c r="R2" s="376"/>
      <c r="S2" s="299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311"/>
      <c r="AJ2" s="526"/>
    </row>
    <row r="3" spans="1:36" ht="9" customHeight="1" thickBot="1">
      <c r="A3" s="526"/>
      <c r="B3" s="651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80"/>
      <c r="Q3" s="681"/>
      <c r="R3" s="376"/>
      <c r="S3" s="299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311"/>
      <c r="AI3" s="311"/>
      <c r="AJ3" s="526"/>
    </row>
    <row r="4" spans="1:36" ht="16.5" customHeight="1" thickBot="1">
      <c r="A4" s="526"/>
      <c r="B4" s="653" t="str">
        <f>CONCATENATE(O1," ",VLOOKUP($O$1,'COMM PLAN'!$A$3:$G$11,2))</f>
        <v>EVEN 61</v>
      </c>
      <c r="C4" s="654"/>
      <c r="D4" s="654"/>
      <c r="E4" s="655" t="s">
        <v>264</v>
      </c>
      <c r="F4" s="655"/>
      <c r="G4" s="655"/>
      <c r="H4" s="655" t="s">
        <v>239</v>
      </c>
      <c r="I4" s="636"/>
      <c r="J4" s="636"/>
      <c r="K4" s="636"/>
      <c r="L4" s="636"/>
      <c r="M4" s="636"/>
      <c r="N4" s="637"/>
      <c r="O4" s="638"/>
      <c r="P4" s="682">
        <f>VLOOKUP($O$1,'COMM PLAN'!$A$3:$G$11,6)</f>
        <v>126</v>
      </c>
      <c r="Q4" s="683"/>
      <c r="R4" s="376"/>
      <c r="S4" s="299"/>
      <c r="T4" s="587" t="s">
        <v>163</v>
      </c>
      <c r="U4" s="726"/>
      <c r="V4" s="726"/>
      <c r="W4" s="726"/>
      <c r="X4" s="727"/>
      <c r="Y4" s="174"/>
      <c r="AE4" s="313"/>
      <c r="AF4" s="313"/>
      <c r="AG4" s="313"/>
      <c r="AH4" s="312"/>
      <c r="AI4" s="313"/>
      <c r="AJ4" s="526"/>
    </row>
    <row r="5" spans="1:36" ht="16.5" customHeight="1" thickBot="1">
      <c r="A5" s="526"/>
      <c r="B5" s="656" t="str">
        <f>CONCATENATE(O1," ",VLOOKUP($O$1,'COMM PLAN'!$A$3:$G$11,3))</f>
        <v>EVEN 62</v>
      </c>
      <c r="C5" s="657"/>
      <c r="D5" s="657"/>
      <c r="E5" s="648" t="s">
        <v>265</v>
      </c>
      <c r="F5" s="648"/>
      <c r="G5" s="648"/>
      <c r="H5" s="658" t="s">
        <v>240</v>
      </c>
      <c r="I5" s="659"/>
      <c r="J5" s="659"/>
      <c r="K5" s="659"/>
      <c r="L5" s="659"/>
      <c r="M5" s="659"/>
      <c r="N5" s="647"/>
      <c r="O5" s="647"/>
      <c r="P5" s="682">
        <f>VLOOKUP($O$1,'COMM PLAN'!$A$3:$G$11,7)</f>
        <v>63</v>
      </c>
      <c r="Q5" s="683"/>
      <c r="R5" s="376"/>
      <c r="S5" s="299"/>
      <c r="T5" s="731"/>
      <c r="U5" s="732"/>
      <c r="V5" s="639" t="s">
        <v>166</v>
      </c>
      <c r="W5" s="676"/>
      <c r="X5" s="172" t="s">
        <v>167</v>
      </c>
      <c r="Y5" s="174"/>
      <c r="AE5" s="313"/>
      <c r="AF5" s="313"/>
      <c r="AG5" s="313"/>
      <c r="AH5" s="312"/>
      <c r="AI5" s="313"/>
      <c r="AJ5" s="526"/>
    </row>
    <row r="6" spans="1:36" ht="16.5" customHeight="1" thickBot="1">
      <c r="A6" s="526"/>
      <c r="B6" s="749" t="s">
        <v>116</v>
      </c>
      <c r="C6" s="750"/>
      <c r="D6" s="751"/>
      <c r="E6" s="752" t="s">
        <v>272</v>
      </c>
      <c r="F6" s="753"/>
      <c r="G6" s="754"/>
      <c r="H6" s="639" t="s">
        <v>75</v>
      </c>
      <c r="I6" s="640"/>
      <c r="J6" s="640"/>
      <c r="K6" s="640"/>
      <c r="L6" s="640"/>
      <c r="M6" s="641"/>
      <c r="N6" s="792"/>
      <c r="O6" s="793"/>
      <c r="P6" s="582" t="s">
        <v>11</v>
      </c>
      <c r="Q6" s="584"/>
      <c r="R6" s="376"/>
      <c r="S6" s="299"/>
      <c r="T6" s="735" t="s">
        <v>109</v>
      </c>
      <c r="U6" s="736"/>
      <c r="V6" s="737" t="s">
        <v>238</v>
      </c>
      <c r="W6" s="738"/>
      <c r="X6" s="420" t="s">
        <v>262</v>
      </c>
      <c r="Y6" s="444"/>
      <c r="AE6" s="299"/>
      <c r="AF6" s="316"/>
      <c r="AG6" s="311"/>
      <c r="AH6" s="311"/>
      <c r="AI6" s="311"/>
      <c r="AJ6" s="526"/>
    </row>
    <row r="7" spans="1:36" ht="16.5" customHeight="1" thickBot="1">
      <c r="A7" s="526"/>
      <c r="B7" s="644" t="s">
        <v>117</v>
      </c>
      <c r="C7" s="645"/>
      <c r="D7" s="646"/>
      <c r="E7" s="755" t="s">
        <v>271</v>
      </c>
      <c r="F7" s="756"/>
      <c r="G7" s="757"/>
      <c r="H7" s="686" t="s">
        <v>78</v>
      </c>
      <c r="I7" s="758"/>
      <c r="J7" s="759"/>
      <c r="K7" s="760">
        <f>VLOOKUP($O$1,'COMM PLAN'!$A$3:$G$11,5)</f>
        <v>237.075</v>
      </c>
      <c r="L7" s="761"/>
      <c r="M7" s="762"/>
      <c r="N7" s="763" t="s">
        <v>118</v>
      </c>
      <c r="O7" s="764"/>
      <c r="P7" s="366">
        <v>5</v>
      </c>
      <c r="Q7" s="367">
        <v>10</v>
      </c>
      <c r="R7" s="376"/>
      <c r="S7" s="299"/>
      <c r="T7" s="784" t="s">
        <v>110</v>
      </c>
      <c r="U7" s="785"/>
      <c r="V7" s="733" t="s">
        <v>111</v>
      </c>
      <c r="W7" s="734"/>
      <c r="X7" s="419" t="s">
        <v>263</v>
      </c>
      <c r="Y7" s="444"/>
      <c r="AE7" s="317"/>
      <c r="AF7" s="318"/>
      <c r="AG7" s="293"/>
      <c r="AH7" s="300"/>
      <c r="AI7" s="300"/>
      <c r="AJ7" s="526"/>
    </row>
    <row r="8" spans="1:36" ht="16.5" customHeight="1" thickBot="1">
      <c r="A8" s="526"/>
      <c r="B8" s="644" t="s">
        <v>119</v>
      </c>
      <c r="C8" s="645"/>
      <c r="D8" s="646"/>
      <c r="E8" s="662" t="s">
        <v>279</v>
      </c>
      <c r="F8" s="663"/>
      <c r="G8" s="664"/>
      <c r="H8" s="665" t="s">
        <v>80</v>
      </c>
      <c r="I8" s="666"/>
      <c r="J8" s="667"/>
      <c r="K8" s="668">
        <f>VLOOKUP($O$1,'COMM PLAN'!$A$3:$G$11,4)</f>
        <v>141.4</v>
      </c>
      <c r="L8" s="669"/>
      <c r="M8" s="670"/>
      <c r="N8" s="671" t="s">
        <v>120</v>
      </c>
      <c r="O8" s="646"/>
      <c r="P8" s="660">
        <v>1000</v>
      </c>
      <c r="Q8" s="661"/>
      <c r="R8" s="376"/>
      <c r="S8" s="299"/>
      <c r="V8" s="293"/>
      <c r="W8" s="319"/>
      <c r="X8" s="320"/>
      <c r="Y8" s="320"/>
      <c r="Z8" s="314"/>
      <c r="AA8" s="299"/>
      <c r="AB8" s="299"/>
      <c r="AC8" s="313"/>
      <c r="AD8" s="317"/>
      <c r="AE8" s="317"/>
      <c r="AF8" s="318"/>
      <c r="AG8" s="293"/>
      <c r="AH8" s="300"/>
      <c r="AI8" s="321"/>
      <c r="AJ8" s="526"/>
    </row>
    <row r="9" spans="1:36" ht="16.5" customHeight="1" thickBot="1">
      <c r="A9" s="526"/>
      <c r="B9" s="644" t="s">
        <v>121</v>
      </c>
      <c r="C9" s="672"/>
      <c r="D9" s="673"/>
      <c r="E9" s="674" t="s">
        <v>278</v>
      </c>
      <c r="F9" s="663"/>
      <c r="G9" s="664"/>
      <c r="H9" s="675" t="s">
        <v>122</v>
      </c>
      <c r="I9" s="676"/>
      <c r="J9" s="676"/>
      <c r="K9" s="676"/>
      <c r="L9" s="676"/>
      <c r="M9" s="677"/>
      <c r="N9" s="671" t="s">
        <v>123</v>
      </c>
      <c r="O9" s="646"/>
      <c r="P9" s="536"/>
      <c r="Q9" s="537"/>
      <c r="R9" s="376"/>
      <c r="S9" s="299"/>
      <c r="T9" s="587" t="s">
        <v>164</v>
      </c>
      <c r="U9" s="726"/>
      <c r="V9" s="726"/>
      <c r="W9" s="726"/>
      <c r="X9" s="727"/>
      <c r="Y9" s="320"/>
      <c r="Z9" s="174"/>
      <c r="AA9" s="174"/>
      <c r="AB9" s="174"/>
      <c r="AC9" s="174"/>
      <c r="AD9" s="174"/>
      <c r="AE9" s="174"/>
      <c r="AF9" s="318"/>
      <c r="AG9" s="293"/>
      <c r="AH9" s="300"/>
      <c r="AI9" s="321"/>
      <c r="AJ9" s="526"/>
    </row>
    <row r="10" spans="1:36" ht="16.5" customHeight="1" thickBot="1">
      <c r="A10" s="526"/>
      <c r="B10" s="702" t="s">
        <v>124</v>
      </c>
      <c r="C10" s="703"/>
      <c r="D10" s="704"/>
      <c r="E10" s="705" t="s">
        <v>270</v>
      </c>
      <c r="F10" s="706"/>
      <c r="G10" s="707"/>
      <c r="H10" s="686" t="s">
        <v>125</v>
      </c>
      <c r="I10" s="687"/>
      <c r="J10" s="688"/>
      <c r="K10" s="769" t="s">
        <v>277</v>
      </c>
      <c r="L10" s="770"/>
      <c r="M10" s="771"/>
      <c r="N10" s="671" t="s">
        <v>126</v>
      </c>
      <c r="O10" s="646"/>
      <c r="P10" s="368">
        <f>IF($P$8=1500,HLOOKUP($P$7,'Told &amp; COF'!$B$2:$G$13,2),IF($P$8=1000,HLOOKUP($P$7,'Told &amp; COF'!$I$2:$N$13,2)))</f>
        <v>96.5</v>
      </c>
      <c r="Q10" s="369">
        <f>IF($P$8=1500,HLOOKUP($Q$7,'Told &amp; COF'!$B$2:$G$13,2),IF($P$8=1000,HLOOKUP($Q$7,'Told &amp; COF'!$I$2:$N$13,2)))</f>
        <v>97.7</v>
      </c>
      <c r="R10" s="376"/>
      <c r="S10" s="299"/>
      <c r="T10" s="205"/>
      <c r="U10" s="206"/>
      <c r="V10" s="207" t="s">
        <v>33</v>
      </c>
      <c r="W10" s="207" t="s">
        <v>168</v>
      </c>
      <c r="X10" s="207" t="s">
        <v>169</v>
      </c>
      <c r="Y10" s="315"/>
      <c r="Z10" s="314"/>
      <c r="AA10" s="314"/>
      <c r="AB10" s="314"/>
      <c r="AC10" s="313"/>
      <c r="AD10" s="313"/>
      <c r="AE10" s="313"/>
      <c r="AF10" s="318"/>
      <c r="AG10" s="293"/>
      <c r="AH10" s="301"/>
      <c r="AI10" s="301"/>
      <c r="AJ10" s="526"/>
    </row>
    <row r="11" spans="1:36" ht="16.5" customHeight="1">
      <c r="A11" s="526"/>
      <c r="B11" s="708" t="s">
        <v>127</v>
      </c>
      <c r="C11" s="709"/>
      <c r="D11" s="710"/>
      <c r="E11" s="711" t="s">
        <v>128</v>
      </c>
      <c r="F11" s="709"/>
      <c r="G11" s="712"/>
      <c r="H11" s="644" t="s">
        <v>129</v>
      </c>
      <c r="I11" s="696"/>
      <c r="J11" s="697"/>
      <c r="K11" s="765" t="s">
        <v>280</v>
      </c>
      <c r="L11" s="766"/>
      <c r="M11" s="767"/>
      <c r="N11" s="671" t="s">
        <v>130</v>
      </c>
      <c r="O11" s="646"/>
      <c r="P11" s="368">
        <f>IF($P$8=1500,HLOOKUP($P$7,'Told &amp; COF'!$B$2:$G$13,3),IF($P$8=1000,HLOOKUP($P$7,'Told &amp; COF'!$I$2:$N$13,3)))</f>
        <v>95.6</v>
      </c>
      <c r="Q11" s="370">
        <f>IF($P$8=1500,HLOOKUP($Q$7,'Told &amp; COF'!$B$2:$G$13,3),IF($P$8=1000,HLOOKUP($Q$7,'Told &amp; COF'!$I$2:$N$13,3)))</f>
        <v>96.7</v>
      </c>
      <c r="R11" s="376"/>
      <c r="S11" s="299"/>
      <c r="T11" s="786" t="s">
        <v>34</v>
      </c>
      <c r="U11" s="787"/>
      <c r="V11" s="209">
        <v>1293</v>
      </c>
      <c r="W11" s="210">
        <v>2.5</v>
      </c>
      <c r="X11" s="211" t="s">
        <v>99</v>
      </c>
      <c r="Y11" s="299"/>
      <c r="Z11" s="314"/>
      <c r="AA11" s="314"/>
      <c r="AB11" s="314"/>
      <c r="AC11" s="313"/>
      <c r="AD11" s="313"/>
      <c r="AE11" s="313"/>
      <c r="AF11" s="318"/>
      <c r="AG11" s="293"/>
      <c r="AH11" s="301"/>
      <c r="AI11" s="301"/>
      <c r="AJ11" s="526"/>
    </row>
    <row r="12" spans="1:36" ht="16.5" customHeight="1" thickBot="1">
      <c r="A12" s="526"/>
      <c r="B12" s="173"/>
      <c r="C12" s="174"/>
      <c r="D12" s="175"/>
      <c r="E12" s="176"/>
      <c r="F12" s="174"/>
      <c r="G12" s="177"/>
      <c r="H12" s="698" t="s">
        <v>131</v>
      </c>
      <c r="I12" s="699"/>
      <c r="J12" s="700"/>
      <c r="K12" s="765" t="s">
        <v>281</v>
      </c>
      <c r="L12" s="766"/>
      <c r="M12" s="767"/>
      <c r="N12" s="671" t="s">
        <v>209</v>
      </c>
      <c r="O12" s="646"/>
      <c r="P12" s="368">
        <f>IF($B$46=FALSE,IF($P$8=1500,HLOOKUP($P$7,'Told &amp; COF'!$B$2:$G$13,4),IF($P$8=1000,HLOOKUP($P$7,'Told &amp; COF'!$I$2:$N$13,4))),IF($P$8=1500,HLOOKUP($P$7,'Told &amp; COF'!$B$2:$G$22,14),IF($P$8=1000,HLOOKUP($P$7,'Told &amp; COF'!$I$2:$N$22,14))))</f>
        <v>5.2</v>
      </c>
      <c r="Q12" s="369">
        <f>IF($B$46=FALSE,IF($P$8=1500,HLOOKUP($Q$7,'Told &amp; COF'!$B$2:$G$13,4),IF($P$8=1000,HLOOKUP($Q$7,'Told &amp; COF'!$I$2:$N$13,4))),IF($P$8=1500,HLOOKUP($Q$7,'Told &amp; COF'!$B$2:$G$22,14),IF($P$8=1000,HLOOKUP($Q$7,'Told &amp; COF'!$I$2:$N$22,14))))</f>
        <v>5.2</v>
      </c>
      <c r="R12" s="376"/>
      <c r="S12" s="299"/>
      <c r="T12" s="782" t="s">
        <v>173</v>
      </c>
      <c r="U12" s="783"/>
      <c r="V12" s="377">
        <v>1178</v>
      </c>
      <c r="W12" s="378" t="s">
        <v>104</v>
      </c>
      <c r="X12" s="379" t="s">
        <v>105</v>
      </c>
      <c r="Y12" s="295"/>
      <c r="Z12" s="314"/>
      <c r="AA12" s="314"/>
      <c r="AB12" s="314"/>
      <c r="AC12" s="313"/>
      <c r="AD12" s="313"/>
      <c r="AE12" s="313"/>
      <c r="AF12" s="318"/>
      <c r="AG12" s="293"/>
      <c r="AH12" s="301"/>
      <c r="AI12" s="301"/>
      <c r="AJ12" s="526"/>
    </row>
    <row r="13" spans="1:36" ht="16.5" customHeight="1" thickBot="1">
      <c r="A13" s="526"/>
      <c r="B13" s="409" t="s">
        <v>285</v>
      </c>
      <c r="C13" s="174"/>
      <c r="D13" s="175"/>
      <c r="E13" s="214" t="s">
        <v>289</v>
      </c>
      <c r="F13" s="174"/>
      <c r="G13" s="177"/>
      <c r="H13" s="639" t="s">
        <v>132</v>
      </c>
      <c r="I13" s="676"/>
      <c r="J13" s="676"/>
      <c r="K13" s="676"/>
      <c r="L13" s="676"/>
      <c r="M13" s="677"/>
      <c r="N13" s="684" t="s">
        <v>133</v>
      </c>
      <c r="O13" s="685"/>
      <c r="P13" s="371">
        <f>IF($B$46=FALSE,IF($P$8=1500,HLOOKUP($P$7,'Told &amp; COF'!$B$2:$G$13,5),IF($P$8=1000,HLOOKUP($P$7,'Told &amp; COF'!$I$2:$N$13,5))),IF($P$8=1500,HLOOKUP($P$7,'Told &amp; COF'!$B$2:$G$22,15),IF($P$8=1000,HLOOKUP($P$7,'Told &amp; COF'!$I$2:$N$22,15))))</f>
        <v>3892</v>
      </c>
      <c r="Q13" s="372">
        <f>IF($B$46=FALSE,IF($P$8=1500,HLOOKUP($Q$7,'Told &amp; COF'!$B$2:$G$13,5),IF($P$8=1000,HLOOKUP($Q$7,'Told &amp; COF'!$I$2:$N$13,5))),IF($P$8=1500,HLOOKUP($Q$7,'Told &amp; COF'!$B$2:$G$22,15),IF($P$8=1000,HLOOKUP($Q$7,'Told &amp; COF'!$I$2:$N$22,15))))</f>
        <v>3947</v>
      </c>
      <c r="R13" s="376"/>
      <c r="S13" s="299"/>
      <c r="T13" s="790" t="s">
        <v>266</v>
      </c>
      <c r="U13" s="791"/>
      <c r="V13" s="421">
        <v>1767</v>
      </c>
      <c r="W13" s="422">
        <v>3.8</v>
      </c>
      <c r="X13" s="423">
        <f>Q12</f>
        <v>5.2</v>
      </c>
      <c r="Y13" s="295"/>
      <c r="Z13" s="174"/>
      <c r="AA13" s="174"/>
      <c r="AB13" s="174"/>
      <c r="AC13" s="174"/>
      <c r="AD13" s="174"/>
      <c r="AE13" s="174"/>
      <c r="AF13" s="318"/>
      <c r="AG13" s="318"/>
      <c r="AH13" s="300"/>
      <c r="AI13" s="300"/>
      <c r="AJ13" s="526"/>
    </row>
    <row r="14" spans="1:36" ht="16.5" customHeight="1" thickBot="1">
      <c r="A14" s="526"/>
      <c r="B14" s="178"/>
      <c r="C14" s="174"/>
      <c r="D14" s="175"/>
      <c r="E14" s="179"/>
      <c r="F14" s="174"/>
      <c r="G14" s="177"/>
      <c r="H14" s="701" t="s">
        <v>134</v>
      </c>
      <c r="I14" s="687"/>
      <c r="J14" s="688"/>
      <c r="K14" s="768" t="s">
        <v>290</v>
      </c>
      <c r="L14" s="719"/>
      <c r="M14" s="720"/>
      <c r="N14" s="684" t="s">
        <v>135</v>
      </c>
      <c r="O14" s="685"/>
      <c r="P14" s="371">
        <f>IF($B$46=FALSE,IF($P$8=1500,HLOOKUP($P$7,'Told &amp; COF'!$B$2:$G$13,6),IF($P$8=1000,HLOOKUP($P$7,'Told &amp; COF'!$I$2:$N$13,6))),IF($P$8=1500,HLOOKUP($P$7,'Told &amp; COF'!$B$2:$G$22,16),IF($P$8=1000,HLOOKUP($P$7,'Told &amp; COF'!$I$2:$N$22,16))))</f>
        <v>4000</v>
      </c>
      <c r="Q14" s="372">
        <f>IF($B$46=FALSE,IF($P$8=1500,HLOOKUP($Q$7,'Told &amp; COF'!$B$2:$G$13,6),IF($P$8=1000,HLOOKUP($Q$7,'Told &amp; COF'!$I$2:$N$13,6))),IF($P$8=1500,HLOOKUP($Q$7,'Told &amp; COF'!$B$2:$G$22,16),IF($P$8=1000,HLOOKUP($Q$7,'Told &amp; COF'!$I$2:$N$22,16))))</f>
        <v>4038</v>
      </c>
      <c r="R14" s="376"/>
      <c r="S14" s="299"/>
      <c r="T14" s="788" t="s">
        <v>70</v>
      </c>
      <c r="U14" s="789"/>
      <c r="V14" s="429">
        <v>1273</v>
      </c>
      <c r="W14" s="425">
        <v>3.3</v>
      </c>
      <c r="X14" s="424">
        <f>Q12</f>
        <v>5.2</v>
      </c>
      <c r="Y14" s="295"/>
      <c r="Z14" s="314"/>
      <c r="AA14" s="314"/>
      <c r="AB14" s="314"/>
      <c r="AC14" s="322"/>
      <c r="AD14" s="323"/>
      <c r="AE14" s="323"/>
      <c r="AF14" s="318"/>
      <c r="AG14" s="318"/>
      <c r="AH14" s="300"/>
      <c r="AI14" s="300"/>
      <c r="AJ14" s="526"/>
    </row>
    <row r="15" spans="1:36" ht="16.5" customHeight="1">
      <c r="A15" s="526"/>
      <c r="B15" s="215" t="s">
        <v>136</v>
      </c>
      <c r="C15" s="174"/>
      <c r="D15" s="175"/>
      <c r="E15" s="180" t="s">
        <v>136</v>
      </c>
      <c r="F15" s="174"/>
      <c r="G15" s="177"/>
      <c r="H15" s="644" t="s">
        <v>137</v>
      </c>
      <c r="I15" s="696"/>
      <c r="J15" s="697"/>
      <c r="K15" s="721" t="s">
        <v>291</v>
      </c>
      <c r="L15" s="722"/>
      <c r="M15" s="723"/>
      <c r="N15" s="684" t="s">
        <v>138</v>
      </c>
      <c r="O15" s="685"/>
      <c r="P15" s="371">
        <f>IF($B$46=FALSE,IF($P$8=1500,HLOOKUP($P$7,'Told &amp; COF'!$B$2:$G$13,7),IF($P$8=1000,HLOOKUP($P$7,'Told &amp; COF'!$I$2:$N$13,7))),IF($P$8=1500,HLOOKUP($P$7,'Told &amp; COF'!$B$2:$G$22,17),IF($P$8=1000,HLOOKUP($P$7,'Told &amp; COF'!$I$2:$N$22,17))))</f>
        <v>99</v>
      </c>
      <c r="Q15" s="372">
        <f>IF($B$46=FALSE,IF($P$8=1500,HLOOKUP($Q$7,'Told &amp; COF'!$B$2:$G$13,7),IF($P$8=1000,HLOOKUP($Q$7,'Told &amp; COF'!$I$2:$N$13,7))),IF($P$8=1500,HLOOKUP($Q$7,'Told &amp; COF'!$B$2:$G$22,17),IF($P$8=1000,HLOOKUP($Q$7,'Told &amp; COF'!$I$2:$N$22,17))))</f>
        <v>99</v>
      </c>
      <c r="R15" s="376"/>
      <c r="S15" s="299"/>
      <c r="V15" s="295"/>
      <c r="W15" s="296"/>
      <c r="X15" s="174"/>
      <c r="Y15" s="295"/>
      <c r="Z15" s="314"/>
      <c r="AA15" s="314"/>
      <c r="AB15" s="314"/>
      <c r="AC15" s="324"/>
      <c r="AD15" s="320"/>
      <c r="AE15" s="320"/>
      <c r="AF15" s="318"/>
      <c r="AG15" s="318"/>
      <c r="AH15" s="300"/>
      <c r="AI15" s="300"/>
      <c r="AJ15" s="526"/>
    </row>
    <row r="16" spans="1:36" ht="16.5" customHeight="1" thickBot="1">
      <c r="A16" s="526"/>
      <c r="B16" s="409" t="s">
        <v>283</v>
      </c>
      <c r="C16" s="118"/>
      <c r="D16" s="175"/>
      <c r="E16" s="214" t="s">
        <v>287</v>
      </c>
      <c r="F16" s="174"/>
      <c r="G16" s="177"/>
      <c r="H16" s="644" t="s">
        <v>139</v>
      </c>
      <c r="I16" s="696"/>
      <c r="J16" s="697"/>
      <c r="K16" s="690" t="s">
        <v>298</v>
      </c>
      <c r="L16" s="691"/>
      <c r="M16" s="692"/>
      <c r="N16" s="684" t="s">
        <v>140</v>
      </c>
      <c r="O16" s="685"/>
      <c r="P16" s="371">
        <f>IF($B$46=FALSE,IF($P$8=1500,HLOOKUP($P$7,'Told &amp; COF'!$B$2:$G$13,8),IF($P$8=1000,HLOOKUP($P$7,'Told &amp; COF'!$I$2:$N$13,8))),"")</f>
        <v>149</v>
      </c>
      <c r="Q16" s="372">
        <f>IF($B$46=FALSE,IF($P$8=1500,HLOOKUP($Q$7,'Told &amp; COF'!$B$2:$G$13,8),IF($P$8=1000,HLOOKUP($Q$7,'Told &amp; COF'!$I$2:$N$13,8))),"")</f>
        <v>145</v>
      </c>
      <c r="R16" s="376"/>
      <c r="S16" s="299"/>
      <c r="V16" s="295"/>
      <c r="W16" s="294"/>
      <c r="X16" s="174"/>
      <c r="Y16" s="295"/>
      <c r="Z16" s="314"/>
      <c r="AA16" s="314"/>
      <c r="AB16" s="314"/>
      <c r="AC16" s="325"/>
      <c r="AD16" s="326"/>
      <c r="AE16" s="326"/>
      <c r="AF16" s="318"/>
      <c r="AG16" s="318"/>
      <c r="AH16" s="300"/>
      <c r="AI16" s="300"/>
      <c r="AJ16" s="526"/>
    </row>
    <row r="17" spans="1:36" ht="16.5" customHeight="1" thickBot="1">
      <c r="A17" s="526"/>
      <c r="B17" s="215" t="s">
        <v>141</v>
      </c>
      <c r="C17" s="118"/>
      <c r="D17" s="295"/>
      <c r="E17" s="331" t="s">
        <v>141</v>
      </c>
      <c r="F17" s="174"/>
      <c r="G17" s="177"/>
      <c r="H17" s="698" t="s">
        <v>142</v>
      </c>
      <c r="I17" s="699"/>
      <c r="J17" s="700"/>
      <c r="K17" s="693" t="s">
        <v>292</v>
      </c>
      <c r="L17" s="694"/>
      <c r="M17" s="695"/>
      <c r="N17" s="684" t="s">
        <v>143</v>
      </c>
      <c r="O17" s="685"/>
      <c r="P17" s="371">
        <f>IF($B$46=FALSE,IF($P$8=1500,HLOOKUP($P$7,'Told &amp; COF'!$B$2:$G$13,9),IF($P$8=1000,HLOOKUP($P$7,'Told &amp; COF'!$I$2:$N$13,9))),IF($P$8=1500,HLOOKUP($P$7,'Told &amp; COF'!$B$2:$G$22,18),IF($P$8=1000,HLOOKUP($P$7,'Told &amp; COF'!$I$2:$N$22,18))))</f>
        <v>138</v>
      </c>
      <c r="Q17" s="372">
        <f>IF($B$46=FALSE,IF($P$8=1500,HLOOKUP($Q$7,'Told &amp; COF'!$B$2:$G$13,9),IF($P$8=1000,HLOOKUP($Q$7,'Told &amp; COF'!$I$2:$N$13,9))),IF($P$8=1500,HLOOKUP($Q$7,'Told &amp; COF'!$B$2:$G$22,18),IF($P$8=1000,HLOOKUP($Q$7,'Told &amp; COF'!$I$2:$N$22,18))))</f>
        <v>137</v>
      </c>
      <c r="R17" s="376"/>
      <c r="S17" s="299"/>
      <c r="T17" s="624" t="s">
        <v>255</v>
      </c>
      <c r="U17" s="625"/>
      <c r="V17" s="295"/>
      <c r="W17" s="296"/>
      <c r="X17" s="174"/>
      <c r="Y17" s="295"/>
      <c r="Z17" s="314"/>
      <c r="AA17" s="314"/>
      <c r="AB17" s="314"/>
      <c r="AC17" s="322"/>
      <c r="AD17" s="323"/>
      <c r="AE17" s="323"/>
      <c r="AF17" s="318"/>
      <c r="AG17" s="318"/>
      <c r="AH17" s="300"/>
      <c r="AI17" s="300"/>
      <c r="AJ17" s="526"/>
    </row>
    <row r="18" spans="1:36" ht="16.5" customHeight="1" thickBot="1">
      <c r="A18" s="526"/>
      <c r="B18" s="409" t="s">
        <v>284</v>
      </c>
      <c r="C18" s="174"/>
      <c r="D18" s="175"/>
      <c r="E18" s="214" t="s">
        <v>288</v>
      </c>
      <c r="F18" s="174"/>
      <c r="G18" s="181"/>
      <c r="H18" s="639" t="s">
        <v>144</v>
      </c>
      <c r="I18" s="676"/>
      <c r="J18" s="676"/>
      <c r="K18" s="676"/>
      <c r="L18" s="676"/>
      <c r="M18" s="677"/>
      <c r="N18" s="684" t="s">
        <v>145</v>
      </c>
      <c r="O18" s="685"/>
      <c r="P18" s="371">
        <f>IF($B$46=FALSE,IF($P$8=1500,HLOOKUP($P$7,'Told &amp; COF'!$B$2:$G$13,10),IF($P$8=1000,HLOOKUP($P$7,'Told &amp; COF'!$I$2:$N$13,10))),IF($P$8=1500,HLOOKUP($P$7,'Told &amp; COF'!$B$2:$G$22,19),IF($P$8=1000,HLOOKUP($P$7,'Told &amp; COF'!$I$2:$N$22,19))))</f>
        <v>115</v>
      </c>
      <c r="Q18" s="372">
        <f>IF($B$46=FALSE,IF($P$8=1500,HLOOKUP($Q$7,'Told &amp; COF'!$B$2:$G$13,10),IF($P$8=1000,HLOOKUP($Q$7,'Told &amp; COF'!$I$2:$N$13,10))),IF($P$8=1500,HLOOKUP($Q$7,'Told &amp; COF'!$B$2:$G$22,19),IF($P$8=1000,HLOOKUP($Q$7,'Told &amp; COF'!$I$2:$N$22,19))))</f>
        <v>115</v>
      </c>
      <c r="R18" s="376"/>
      <c r="S18" s="299"/>
      <c r="T18" s="385" t="s">
        <v>256</v>
      </c>
      <c r="U18" s="386" t="s">
        <v>260</v>
      </c>
      <c r="V18" s="295"/>
      <c r="W18" s="294"/>
      <c r="X18" s="174"/>
      <c r="Y18" s="294"/>
      <c r="Z18" s="174"/>
      <c r="AA18" s="174"/>
      <c r="AB18" s="174"/>
      <c r="AC18" s="174"/>
      <c r="AD18" s="174"/>
      <c r="AE18" s="174"/>
      <c r="AF18" s="318"/>
      <c r="AG18" s="318"/>
      <c r="AH18" s="300"/>
      <c r="AI18" s="300"/>
      <c r="AJ18" s="526"/>
    </row>
    <row r="19" spans="1:36" ht="16.5" customHeight="1">
      <c r="A19" s="526"/>
      <c r="B19" s="178"/>
      <c r="C19" s="174"/>
      <c r="D19" s="175"/>
      <c r="E19" s="179"/>
      <c r="F19" s="174"/>
      <c r="G19" s="177"/>
      <c r="H19" s="701" t="s">
        <v>134</v>
      </c>
      <c r="I19" s="687"/>
      <c r="J19" s="688"/>
      <c r="K19" s="718" t="s">
        <v>293</v>
      </c>
      <c r="L19" s="719"/>
      <c r="M19" s="720"/>
      <c r="N19" s="684" t="s">
        <v>146</v>
      </c>
      <c r="O19" s="685"/>
      <c r="P19" s="371">
        <f>IF($B$46=FALSE,IF($P$8=1500,HLOOKUP($P$7,'Told &amp; COF'!$B$2:$G$13,11),IF($P$8=1000,HLOOKUP($P$7,'Told &amp; COF'!$I$2:$N$13,11))),IF($P$8=1500,HLOOKUP($P$7,'Told &amp; COF'!$B$2:$G$22,20),IF($P$8=1000,HLOOKUP($P$7,'Told &amp; COF'!$I$2:$N$22,20))))</f>
        <v>123</v>
      </c>
      <c r="Q19" s="372">
        <f>IF($B$46=FALSE,IF($P$8=1500,HLOOKUP($Q$7,'Told &amp; COF'!$B$2:$G$13,11),IF($P$8=1000,HLOOKUP($Q$7,'Told &amp; COF'!$I$2:$N$13,11))),IF($P$8=1500,HLOOKUP($Q$7,'Told &amp; COF'!$B$2:$G$22,20),IF($P$8=1000,HLOOKUP($Q$7,'Told &amp; COF'!$I$2:$N$22,20))))</f>
        <v>123</v>
      </c>
      <c r="R19" s="376"/>
      <c r="S19" s="299"/>
      <c r="T19" s="380" t="s">
        <v>70</v>
      </c>
      <c r="U19" s="381" t="s">
        <v>296</v>
      </c>
      <c r="V19" s="295"/>
      <c r="W19" s="295"/>
      <c r="X19" s="174"/>
      <c r="Y19" s="295"/>
      <c r="Z19" s="314"/>
      <c r="AA19" s="314"/>
      <c r="AB19" s="314"/>
      <c r="AC19" s="322"/>
      <c r="AD19" s="323"/>
      <c r="AE19" s="323"/>
      <c r="AF19" s="318"/>
      <c r="AG19" s="318"/>
      <c r="AH19" s="300"/>
      <c r="AI19" s="300"/>
      <c r="AJ19" s="526"/>
    </row>
    <row r="20" spans="1:36" ht="16.5" customHeight="1">
      <c r="A20" s="526"/>
      <c r="B20" s="182"/>
      <c r="C20" s="174"/>
      <c r="D20" s="183"/>
      <c r="E20" s="184"/>
      <c r="F20" s="174"/>
      <c r="G20" s="185"/>
      <c r="H20" s="644" t="s">
        <v>147</v>
      </c>
      <c r="I20" s="696"/>
      <c r="J20" s="697"/>
      <c r="K20" s="721" t="s">
        <v>294</v>
      </c>
      <c r="L20" s="722"/>
      <c r="M20" s="723"/>
      <c r="N20" s="671" t="s">
        <v>148</v>
      </c>
      <c r="O20" s="689"/>
      <c r="P20" s="371">
        <f>IF($B$46=FALSE,IF($P$8=1500,HLOOKUP($P$7,'Told &amp; COF'!$B$2:$G$13,12),IF($P$8=1000,HLOOKUP($P$7,'Told &amp; COF'!$I$2:$N$13,12))),IF($P$8=1500,HLOOKUP($P$7,'Told &amp; COF'!$B$2:$G$22,21),IF($P$8=1000,HLOOKUP($P$7,'Told &amp; COF'!$I$2:$N$22,21))))</f>
        <v>115</v>
      </c>
      <c r="Q20" s="372">
        <f>IF($B$46=FALSE,IF($P$8=1500,HLOOKUP($Q$7,'Told &amp; COF'!$B$2:$G$13,12),IF($P$8=1000,HLOOKUP($Q$7,'Told &amp; COF'!$I$2:$N$13,12))),IF($P$8=1500,HLOOKUP($Q$7,'Told &amp; COF'!$B$2:$G$22,21),IF($P$8=1000,HLOOKUP($Q$7,'Told &amp; COF'!$I$2:$N$22,21))))</f>
        <v>115</v>
      </c>
      <c r="R20" s="376"/>
      <c r="S20" s="299"/>
      <c r="T20" s="382" t="s">
        <v>277</v>
      </c>
      <c r="U20" s="381" t="s">
        <v>297</v>
      </c>
      <c r="V20" s="174"/>
      <c r="W20" s="174"/>
      <c r="X20" s="174"/>
      <c r="Y20" s="174"/>
      <c r="Z20" s="314"/>
      <c r="AA20" s="314"/>
      <c r="AB20" s="314"/>
      <c r="AC20" s="324"/>
      <c r="AD20" s="320"/>
      <c r="AE20" s="320"/>
      <c r="AF20" s="318"/>
      <c r="AG20" s="318"/>
      <c r="AH20" s="300"/>
      <c r="AI20" s="300"/>
      <c r="AJ20" s="526"/>
    </row>
    <row r="21" spans="1:36" ht="16.5" customHeight="1" thickBot="1">
      <c r="A21" s="526"/>
      <c r="B21" s="411" t="s">
        <v>282</v>
      </c>
      <c r="C21" s="174"/>
      <c r="D21" s="183"/>
      <c r="E21" s="410" t="s">
        <v>286</v>
      </c>
      <c r="F21" s="174"/>
      <c r="G21" s="185"/>
      <c r="H21" s="644" t="s">
        <v>139</v>
      </c>
      <c r="I21" s="696"/>
      <c r="J21" s="697"/>
      <c r="K21" s="690" t="s">
        <v>299</v>
      </c>
      <c r="L21" s="691"/>
      <c r="M21" s="692"/>
      <c r="N21" s="716" t="s">
        <v>257</v>
      </c>
      <c r="O21" s="717"/>
      <c r="P21" s="371">
        <f>IF($B$46=FALSE,IF($P$8=1500,HLOOKUP($P$7,'Told &amp; COF'!$B$2:$G$14,13),IF($P$8=1000,HLOOKUP($P$7,'Told &amp; COF'!$I$2:$N$14,13))),IF($P$8=1500,HLOOKUP($P$7,'Told &amp; COF'!$B$2:$G$23,22),IF($P$8=1000,HLOOKUP($P$7,'Told &amp; COF'!$I$2:$N$23,22))))</f>
        <v>4157</v>
      </c>
      <c r="Q21" s="372">
        <f>IF($B$46=FALSE,IF($P$8=1500,HLOOKUP($Q$7,'Told &amp; COF'!$B$2:$G$14,13),IF($P$8=1000,HLOOKUP($Q$7,'Told &amp; COF'!$I$2:$N$14,13))),IF($P$8=1500,HLOOKUP($Q$7,'Told &amp; COF'!$B$2:$G$23,22),IF($P$8=1000,HLOOKUP($Q$7,'Told &amp; COF'!$I$2:$N$23,22))))</f>
        <v>4211</v>
      </c>
      <c r="R21" s="376"/>
      <c r="S21" s="299"/>
      <c r="T21" s="383"/>
      <c r="U21" s="384"/>
      <c r="V21" s="174"/>
      <c r="W21" s="118"/>
      <c r="X21" s="174"/>
      <c r="Y21" s="174"/>
      <c r="Z21" s="314"/>
      <c r="AA21" s="314"/>
      <c r="AB21" s="314"/>
      <c r="AC21" s="325"/>
      <c r="AD21" s="326"/>
      <c r="AE21" s="326"/>
      <c r="AF21" s="314"/>
      <c r="AG21" s="314"/>
      <c r="AH21" s="300"/>
      <c r="AI21" s="300"/>
      <c r="AJ21" s="526"/>
    </row>
    <row r="22" spans="1:36" ht="16.5" customHeight="1" thickBot="1">
      <c r="A22" s="526"/>
      <c r="B22" s="186"/>
      <c r="C22" s="187" t="s">
        <v>149</v>
      </c>
      <c r="D22" s="188"/>
      <c r="E22" s="189"/>
      <c r="F22" s="187" t="s">
        <v>149</v>
      </c>
      <c r="G22" s="190"/>
      <c r="H22" s="702" t="s">
        <v>142</v>
      </c>
      <c r="I22" s="729"/>
      <c r="J22" s="730"/>
      <c r="K22" s="693" t="s">
        <v>295</v>
      </c>
      <c r="L22" s="694"/>
      <c r="M22" s="695"/>
      <c r="N22" s="713"/>
      <c r="O22" s="714"/>
      <c r="P22" s="714"/>
      <c r="Q22" s="715"/>
      <c r="R22" s="376"/>
      <c r="S22" s="299"/>
      <c r="T22" s="174"/>
      <c r="U22" s="174"/>
      <c r="V22" s="174"/>
      <c r="W22" s="174"/>
      <c r="X22" s="174"/>
      <c r="Y22" s="174"/>
      <c r="Z22" s="314"/>
      <c r="AA22" s="314"/>
      <c r="AB22" s="314"/>
      <c r="AC22" s="322"/>
      <c r="AD22" s="323"/>
      <c r="AE22" s="323"/>
      <c r="AF22" s="318"/>
      <c r="AG22" s="299"/>
      <c r="AH22" s="299"/>
      <c r="AI22" s="299"/>
      <c r="AJ22" s="526"/>
    </row>
    <row r="23" spans="1:36" ht="19.5" customHeight="1">
      <c r="A23" s="526"/>
      <c r="B23" s="774" t="s">
        <v>150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6"/>
      <c r="R23" s="376"/>
      <c r="S23" s="299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526"/>
    </row>
    <row r="24" spans="1:36" ht="4.5" customHeight="1">
      <c r="A24" s="526"/>
      <c r="B24" s="555"/>
      <c r="C24" s="563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9"/>
      <c r="R24" s="376"/>
      <c r="S24" s="299"/>
      <c r="T24" s="328"/>
      <c r="U24" s="328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526"/>
    </row>
    <row r="25" spans="1:36" ht="4.5" customHeight="1">
      <c r="A25" s="526"/>
      <c r="B25" s="777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79"/>
      <c r="R25" s="376"/>
      <c r="S25" s="29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526"/>
    </row>
    <row r="26" spans="1:36" ht="19.5" customHeight="1" thickBot="1">
      <c r="A26" s="526"/>
      <c r="B26" s="569" t="s">
        <v>267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8"/>
      <c r="R26" s="376"/>
      <c r="S26" s="299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526"/>
    </row>
    <row r="27" spans="1:36" ht="16.5" customHeight="1">
      <c r="A27" s="526"/>
      <c r="B27" s="741" t="s">
        <v>268</v>
      </c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3"/>
      <c r="R27" s="376"/>
      <c r="S27" s="299"/>
      <c r="T27" s="327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526"/>
    </row>
    <row r="28" spans="1:36" ht="16.5" customHeight="1">
      <c r="A28" s="526"/>
      <c r="B28" s="191" t="s">
        <v>151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3" t="s">
        <v>152</v>
      </c>
      <c r="P28" s="194"/>
      <c r="Q28" s="195"/>
      <c r="R28" s="376"/>
      <c r="S28" s="299"/>
      <c r="T28" s="303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5"/>
      <c r="AH28" s="306"/>
      <c r="AI28" s="306"/>
      <c r="AJ28" s="526"/>
    </row>
    <row r="29" spans="1:36" ht="16.5" customHeight="1">
      <c r="A29" s="526"/>
      <c r="B29" s="772" t="s">
        <v>241</v>
      </c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194"/>
      <c r="N29" s="194"/>
      <c r="O29" s="780" t="s">
        <v>261</v>
      </c>
      <c r="P29" s="780"/>
      <c r="Q29" s="198"/>
      <c r="R29" s="376"/>
      <c r="S29" s="299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6"/>
      <c r="AE29" s="306"/>
      <c r="AF29" s="306"/>
      <c r="AG29" s="307"/>
      <c r="AH29" s="307"/>
      <c r="AI29" s="304"/>
      <c r="AJ29" s="526"/>
    </row>
    <row r="30" spans="1:36" ht="16.5" customHeight="1">
      <c r="A30" s="526"/>
      <c r="B30" s="772" t="s">
        <v>154</v>
      </c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194"/>
      <c r="N30" s="194"/>
      <c r="O30" s="780" t="s">
        <v>155</v>
      </c>
      <c r="P30" s="780"/>
      <c r="Q30" s="198"/>
      <c r="R30" s="376"/>
      <c r="S30" s="299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5"/>
      <c r="AE30" s="306"/>
      <c r="AF30" s="306"/>
      <c r="AG30" s="307"/>
      <c r="AH30" s="307"/>
      <c r="AI30" s="304"/>
      <c r="AJ30" s="526"/>
    </row>
    <row r="31" spans="1:36" ht="16.5" customHeight="1">
      <c r="A31" s="526"/>
      <c r="B31" s="614" t="s">
        <v>276</v>
      </c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197"/>
      <c r="N31" s="192"/>
      <c r="O31" s="780" t="s">
        <v>153</v>
      </c>
      <c r="P31" s="780"/>
      <c r="Q31" s="198"/>
      <c r="R31" s="376"/>
      <c r="S31" s="299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7"/>
      <c r="AE31" s="307"/>
      <c r="AF31" s="304"/>
      <c r="AG31" s="307"/>
      <c r="AH31" s="307"/>
      <c r="AI31" s="304"/>
      <c r="AJ31" s="526"/>
    </row>
    <row r="32" spans="1:36" ht="16.5" customHeight="1" thickBot="1">
      <c r="A32" s="526"/>
      <c r="B32" s="196"/>
      <c r="C32" s="192"/>
      <c r="D32" s="192"/>
      <c r="E32" s="192"/>
      <c r="F32" s="192"/>
      <c r="G32" s="192"/>
      <c r="H32" s="192"/>
      <c r="I32" s="192"/>
      <c r="J32" s="192"/>
      <c r="K32" s="192"/>
      <c r="L32" s="197"/>
      <c r="M32" s="197"/>
      <c r="N32" s="192"/>
      <c r="O32" s="781" t="s">
        <v>156</v>
      </c>
      <c r="P32" s="781"/>
      <c r="Q32" s="200"/>
      <c r="R32" s="376"/>
      <c r="S32" s="299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7"/>
      <c r="AE32" s="307"/>
      <c r="AF32" s="304"/>
      <c r="AG32" s="308"/>
      <c r="AH32" s="308"/>
      <c r="AI32" s="295"/>
      <c r="AJ32" s="526"/>
    </row>
    <row r="33" spans="1:36" ht="16.5" customHeight="1" thickBot="1">
      <c r="A33" s="526"/>
      <c r="B33" s="744" t="s">
        <v>157</v>
      </c>
      <c r="C33" s="745"/>
      <c r="D33" s="192"/>
      <c r="E33" s="192"/>
      <c r="F33" s="192"/>
      <c r="G33" s="192"/>
      <c r="H33" s="192"/>
      <c r="I33" s="192"/>
      <c r="J33" s="192"/>
      <c r="K33" s="192"/>
      <c r="L33" s="197"/>
      <c r="M33" s="197"/>
      <c r="N33" s="192"/>
      <c r="O33" s="781" t="s">
        <v>158</v>
      </c>
      <c r="P33" s="781"/>
      <c r="Q33" s="200"/>
      <c r="R33" s="376"/>
      <c r="S33" s="299"/>
      <c r="T33" s="118"/>
      <c r="U33" s="118"/>
      <c r="V33" s="304"/>
      <c r="W33" s="304"/>
      <c r="X33" s="304"/>
      <c r="Y33" s="304"/>
      <c r="Z33" s="304"/>
      <c r="AA33" s="304"/>
      <c r="AB33" s="304"/>
      <c r="AC33" s="304"/>
      <c r="AD33" s="307"/>
      <c r="AE33" s="307"/>
      <c r="AF33" s="304"/>
      <c r="AG33" s="308"/>
      <c r="AH33" s="308"/>
      <c r="AI33" s="295"/>
      <c r="AJ33" s="526"/>
    </row>
    <row r="34" spans="1:36" ht="16.5" customHeight="1" thickBot="1">
      <c r="A34" s="526"/>
      <c r="B34" s="171" t="s">
        <v>100</v>
      </c>
      <c r="C34" s="172" t="s">
        <v>159</v>
      </c>
      <c r="D34" s="201"/>
      <c r="E34" s="174"/>
      <c r="F34" s="144"/>
      <c r="G34" s="144"/>
      <c r="H34" s="144"/>
      <c r="I34" s="144"/>
      <c r="J34" s="144"/>
      <c r="K34" s="144"/>
      <c r="L34" s="199"/>
      <c r="M34" s="199"/>
      <c r="N34" s="144"/>
      <c r="O34" s="144"/>
      <c r="P34" s="144"/>
      <c r="Q34" s="200"/>
      <c r="R34" s="376"/>
      <c r="S34" s="299"/>
      <c r="T34" s="174"/>
      <c r="U34" s="174"/>
      <c r="V34" s="297"/>
      <c r="W34" s="174"/>
      <c r="X34" s="295"/>
      <c r="Y34" s="295"/>
      <c r="Z34" s="295"/>
      <c r="AA34" s="295"/>
      <c r="AB34" s="295"/>
      <c r="AC34" s="295"/>
      <c r="AD34" s="308"/>
      <c r="AE34" s="308"/>
      <c r="AF34" s="295"/>
      <c r="AG34" s="295"/>
      <c r="AH34" s="295"/>
      <c r="AI34" s="295"/>
      <c r="AJ34" s="526"/>
    </row>
    <row r="35" spans="1:36" ht="16.5" customHeight="1" thickBot="1">
      <c r="A35" s="526"/>
      <c r="B35" s="160">
        <v>150</v>
      </c>
      <c r="C35" s="148">
        <v>24</v>
      </c>
      <c r="D35" s="202"/>
      <c r="E35" s="144"/>
      <c r="F35" s="144"/>
      <c r="G35" s="144"/>
      <c r="H35" s="144"/>
      <c r="I35" s="144"/>
      <c r="J35" s="144"/>
      <c r="K35" s="144"/>
      <c r="L35" s="199"/>
      <c r="M35" s="199"/>
      <c r="N35" s="144"/>
      <c r="O35" s="523" t="s">
        <v>160</v>
      </c>
      <c r="P35" s="739"/>
      <c r="Q35" s="740"/>
      <c r="R35" s="376"/>
      <c r="S35" s="299"/>
      <c r="T35" s="174"/>
      <c r="U35" s="174"/>
      <c r="V35" s="295"/>
      <c r="W35" s="295"/>
      <c r="X35" s="295"/>
      <c r="Y35" s="295"/>
      <c r="Z35" s="295"/>
      <c r="AA35" s="295"/>
      <c r="AB35" s="295"/>
      <c r="AC35" s="295"/>
      <c r="AD35" s="308"/>
      <c r="AE35" s="308"/>
      <c r="AF35" s="295"/>
      <c r="AG35" s="174"/>
      <c r="AH35" s="311"/>
      <c r="AI35" s="311"/>
      <c r="AJ35" s="526"/>
    </row>
    <row r="36" spans="1:36" ht="16.5" customHeight="1">
      <c r="A36" s="526"/>
      <c r="B36" s="203">
        <v>200</v>
      </c>
      <c r="C36" s="154">
        <v>18</v>
      </c>
      <c r="D36" s="202"/>
      <c r="E36" s="144"/>
      <c r="F36" s="144"/>
      <c r="G36" s="144"/>
      <c r="H36" s="144"/>
      <c r="I36" s="144"/>
      <c r="J36" s="144"/>
      <c r="K36" s="144"/>
      <c r="L36" s="199"/>
      <c r="M36" s="199"/>
      <c r="N36" s="144"/>
      <c r="O36" s="724" t="s">
        <v>161</v>
      </c>
      <c r="P36" s="725"/>
      <c r="Q36" s="204" t="s">
        <v>162</v>
      </c>
      <c r="R36" s="376"/>
      <c r="S36" s="299"/>
      <c r="T36" s="174"/>
      <c r="U36" s="174"/>
      <c r="V36" s="295"/>
      <c r="W36" s="295"/>
      <c r="X36" s="295"/>
      <c r="Y36" s="295"/>
      <c r="Z36" s="295"/>
      <c r="AA36" s="295"/>
      <c r="AB36" s="295"/>
      <c r="AC36" s="295"/>
      <c r="AD36" s="308"/>
      <c r="AE36" s="308"/>
      <c r="AF36" s="295"/>
      <c r="AG36" s="314"/>
      <c r="AH36" s="293"/>
      <c r="AI36" s="298"/>
      <c r="AJ36" s="526"/>
    </row>
    <row r="37" spans="1:36" ht="16.5" customHeight="1">
      <c r="A37" s="526"/>
      <c r="B37" s="203">
        <v>250</v>
      </c>
      <c r="C37" s="154">
        <v>14</v>
      </c>
      <c r="O37" s="724" t="s">
        <v>165</v>
      </c>
      <c r="P37" s="725"/>
      <c r="Q37" s="204" t="s">
        <v>162</v>
      </c>
      <c r="R37" s="376"/>
      <c r="S37" s="299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314"/>
      <c r="AH37" s="293"/>
      <c r="AI37" s="298"/>
      <c r="AJ37" s="526"/>
    </row>
    <row r="38" spans="1:36" ht="16.5" customHeight="1">
      <c r="A38" s="526"/>
      <c r="B38" s="203">
        <v>300</v>
      </c>
      <c r="C38" s="154">
        <v>12</v>
      </c>
      <c r="O38" s="724" t="s">
        <v>170</v>
      </c>
      <c r="P38" s="725"/>
      <c r="Q38" s="204" t="s">
        <v>162</v>
      </c>
      <c r="R38" s="376"/>
      <c r="S38" s="299"/>
      <c r="T38" s="174"/>
      <c r="U38" s="174"/>
      <c r="V38" s="174"/>
      <c r="W38" s="295"/>
      <c r="X38" s="174"/>
      <c r="Y38" s="174"/>
      <c r="Z38" s="174"/>
      <c r="AA38" s="174"/>
      <c r="AB38" s="295"/>
      <c r="AC38" s="295"/>
      <c r="AD38" s="174"/>
      <c r="AE38" s="174"/>
      <c r="AF38" s="174"/>
      <c r="AG38" s="314"/>
      <c r="AH38" s="293"/>
      <c r="AI38" s="298"/>
      <c r="AJ38" s="526"/>
    </row>
    <row r="39" spans="1:36" ht="16.5" customHeight="1">
      <c r="A39" s="526"/>
      <c r="B39" s="203">
        <v>400</v>
      </c>
      <c r="C39" s="154">
        <v>9</v>
      </c>
      <c r="O39" s="724" t="s">
        <v>157</v>
      </c>
      <c r="P39" s="725"/>
      <c r="Q39" s="204" t="s">
        <v>162</v>
      </c>
      <c r="R39" s="376"/>
      <c r="S39" s="299"/>
      <c r="T39" s="174"/>
      <c r="U39" s="174"/>
      <c r="V39" s="174"/>
      <c r="W39" s="295"/>
      <c r="X39" s="174"/>
      <c r="Y39" s="174"/>
      <c r="Z39" s="174"/>
      <c r="AA39" s="174"/>
      <c r="AB39" s="174"/>
      <c r="AC39" s="174"/>
      <c r="AD39" s="309"/>
      <c r="AE39" s="310"/>
      <c r="AF39" s="310"/>
      <c r="AG39" s="314"/>
      <c r="AH39" s="293"/>
      <c r="AI39" s="298"/>
      <c r="AJ39" s="526"/>
    </row>
    <row r="40" spans="1:36" ht="16.5" customHeight="1" thickBot="1">
      <c r="A40" s="526"/>
      <c r="B40" s="212">
        <v>450</v>
      </c>
      <c r="C40" s="164">
        <v>8</v>
      </c>
      <c r="D40" s="387"/>
      <c r="E40" s="388"/>
      <c r="F40" s="388"/>
      <c r="G40" s="388"/>
      <c r="H40" s="388"/>
      <c r="I40" s="388"/>
      <c r="J40" s="388"/>
      <c r="K40" s="388"/>
      <c r="L40" s="388"/>
      <c r="M40" s="388"/>
      <c r="N40" s="389"/>
      <c r="O40" s="746" t="s">
        <v>171</v>
      </c>
      <c r="P40" s="747"/>
      <c r="Q40" s="213" t="s">
        <v>162</v>
      </c>
      <c r="R40" s="376"/>
      <c r="S40" s="299"/>
      <c r="T40" s="174"/>
      <c r="U40" s="174"/>
      <c r="V40" s="174"/>
      <c r="W40" s="295"/>
      <c r="X40" s="174"/>
      <c r="Y40" s="174"/>
      <c r="Z40" s="174"/>
      <c r="AA40" s="174"/>
      <c r="AB40" s="310"/>
      <c r="AC40" s="174"/>
      <c r="AD40" s="309"/>
      <c r="AE40" s="310"/>
      <c r="AF40" s="310"/>
      <c r="AG40" s="314"/>
      <c r="AH40" s="293"/>
      <c r="AI40" s="298"/>
      <c r="AJ40" s="526"/>
    </row>
    <row r="41" spans="1:36" ht="12.75">
      <c r="A41" s="526"/>
      <c r="B41" s="748" t="s">
        <v>172</v>
      </c>
      <c r="C41" s="748"/>
      <c r="D41" s="748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376"/>
      <c r="S41" s="299"/>
      <c r="T41" s="330"/>
      <c r="U41" s="330"/>
      <c r="V41" s="330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526"/>
    </row>
    <row r="42" spans="1:19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6" ht="12.75" hidden="1">
      <c r="B46" s="89" t="b">
        <v>0</v>
      </c>
    </row>
  </sheetData>
  <sheetProtection/>
  <mergeCells count="121">
    <mergeCell ref="T4:X4"/>
    <mergeCell ref="T13:U13"/>
    <mergeCell ref="P6:Q6"/>
    <mergeCell ref="N6:O6"/>
    <mergeCell ref="T17:U17"/>
    <mergeCell ref="T12:U12"/>
    <mergeCell ref="T7:U7"/>
    <mergeCell ref="T11:U11"/>
    <mergeCell ref="T14:U14"/>
    <mergeCell ref="O36:P36"/>
    <mergeCell ref="O29:P29"/>
    <mergeCell ref="O30:P30"/>
    <mergeCell ref="O31:P31"/>
    <mergeCell ref="O32:P32"/>
    <mergeCell ref="O33:P33"/>
    <mergeCell ref="K15:M15"/>
    <mergeCell ref="B29:L29"/>
    <mergeCell ref="B30:L30"/>
    <mergeCell ref="B31:L31"/>
    <mergeCell ref="B23:Q23"/>
    <mergeCell ref="B24:B25"/>
    <mergeCell ref="C24:P24"/>
    <mergeCell ref="Q24:Q25"/>
    <mergeCell ref="K21:M21"/>
    <mergeCell ref="K22:M22"/>
    <mergeCell ref="K11:M11"/>
    <mergeCell ref="K14:M14"/>
    <mergeCell ref="K10:M10"/>
    <mergeCell ref="N11:O11"/>
    <mergeCell ref="N10:O10"/>
    <mergeCell ref="N12:O12"/>
    <mergeCell ref="K12:M12"/>
    <mergeCell ref="N14:O14"/>
    <mergeCell ref="O40:P40"/>
    <mergeCell ref="B41:Q41"/>
    <mergeCell ref="B6:D6"/>
    <mergeCell ref="E6:G6"/>
    <mergeCell ref="B7:D7"/>
    <mergeCell ref="E7:G7"/>
    <mergeCell ref="H7:J7"/>
    <mergeCell ref="K7:M7"/>
    <mergeCell ref="N7:O7"/>
    <mergeCell ref="O39:P39"/>
    <mergeCell ref="O37:P37"/>
    <mergeCell ref="T5:U5"/>
    <mergeCell ref="V5:W5"/>
    <mergeCell ref="V7:W7"/>
    <mergeCell ref="T6:U6"/>
    <mergeCell ref="V6:W6"/>
    <mergeCell ref="B26:Q26"/>
    <mergeCell ref="O35:Q35"/>
    <mergeCell ref="B27:Q27"/>
    <mergeCell ref="B33:C33"/>
    <mergeCell ref="O38:P38"/>
    <mergeCell ref="T9:X9"/>
    <mergeCell ref="C25:P25"/>
    <mergeCell ref="H15:J15"/>
    <mergeCell ref="H16:J16"/>
    <mergeCell ref="H17:J17"/>
    <mergeCell ref="H19:J19"/>
    <mergeCell ref="H20:J20"/>
    <mergeCell ref="H21:J21"/>
    <mergeCell ref="H22:J22"/>
    <mergeCell ref="H18:M18"/>
    <mergeCell ref="N22:Q22"/>
    <mergeCell ref="N21:O21"/>
    <mergeCell ref="K19:M19"/>
    <mergeCell ref="K20:M20"/>
    <mergeCell ref="B10:D10"/>
    <mergeCell ref="E10:G10"/>
    <mergeCell ref="B11:D11"/>
    <mergeCell ref="E11:G11"/>
    <mergeCell ref="H10:J10"/>
    <mergeCell ref="H13:M13"/>
    <mergeCell ref="N19:O19"/>
    <mergeCell ref="N20:O20"/>
    <mergeCell ref="N18:O18"/>
    <mergeCell ref="K16:M16"/>
    <mergeCell ref="K17:M17"/>
    <mergeCell ref="H11:J11"/>
    <mergeCell ref="H12:J12"/>
    <mergeCell ref="H14:J14"/>
    <mergeCell ref="P2:Q3"/>
    <mergeCell ref="P4:Q4"/>
    <mergeCell ref="P5:Q5"/>
    <mergeCell ref="N17:O17"/>
    <mergeCell ref="N15:O15"/>
    <mergeCell ref="N16:O16"/>
    <mergeCell ref="N13:O13"/>
    <mergeCell ref="B9:D9"/>
    <mergeCell ref="E9:G9"/>
    <mergeCell ref="N9:O9"/>
    <mergeCell ref="P9:Q9"/>
    <mergeCell ref="H9:M9"/>
    <mergeCell ref="H5:J5"/>
    <mergeCell ref="K5:M5"/>
    <mergeCell ref="P8:Q8"/>
    <mergeCell ref="E8:G8"/>
    <mergeCell ref="H8:J8"/>
    <mergeCell ref="K8:M8"/>
    <mergeCell ref="N8:O8"/>
    <mergeCell ref="AJ1:AJ41"/>
    <mergeCell ref="B2:D3"/>
    <mergeCell ref="E2:G3"/>
    <mergeCell ref="H2:J3"/>
    <mergeCell ref="K2:M3"/>
    <mergeCell ref="N2:O3"/>
    <mergeCell ref="B4:D4"/>
    <mergeCell ref="E4:G4"/>
    <mergeCell ref="H4:J4"/>
    <mergeCell ref="B5:D5"/>
    <mergeCell ref="A1:A41"/>
    <mergeCell ref="K4:M4"/>
    <mergeCell ref="N4:O4"/>
    <mergeCell ref="H6:M6"/>
    <mergeCell ref="B1:K1"/>
    <mergeCell ref="L1:N1"/>
    <mergeCell ref="O1:Q1"/>
    <mergeCell ref="B8:D8"/>
    <mergeCell ref="N5:O5"/>
    <mergeCell ref="E5:G5"/>
  </mergeCells>
  <printOptions/>
  <pageMargins left="0.25" right="0.25" top="1" bottom="0" header="0" footer="0"/>
  <pageSetup fitToHeight="1" fitToWidth="1" horizontalDpi="600" verticalDpi="600" orientation="landscape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workbookViewId="0" topLeftCell="A1">
      <selection activeCell="F7" sqref="F7"/>
    </sheetView>
  </sheetViews>
  <sheetFormatPr defaultColWidth="9.140625" defaultRowHeight="12.75"/>
  <cols>
    <col min="1" max="1" width="2.140625" style="0" customWidth="1"/>
    <col min="2" max="2" width="10.57421875" style="0" customWidth="1"/>
    <col min="3" max="3" width="10.140625" style="0" customWidth="1"/>
    <col min="4" max="4" width="9.7109375" style="0" customWidth="1"/>
    <col min="5" max="5" width="10.140625" style="0" customWidth="1"/>
    <col min="6" max="6" width="10.8515625" style="0" customWidth="1"/>
    <col min="7" max="8" width="7.57421875" style="0" customWidth="1"/>
    <col min="9" max="9" width="3.8515625" style="0" customWidth="1"/>
    <col min="10" max="10" width="10.57421875" style="0" customWidth="1"/>
    <col min="11" max="11" width="11.28125" style="0" customWidth="1"/>
    <col min="12" max="12" width="12.7109375" style="0" customWidth="1"/>
    <col min="13" max="13" width="10.140625" style="0" customWidth="1"/>
    <col min="14" max="14" width="10.8515625" style="0" customWidth="1"/>
    <col min="15" max="16" width="7.57421875" style="0" customWidth="1"/>
  </cols>
  <sheetData>
    <row r="1" spans="2:17" ht="15" customHeight="1" thickBot="1">
      <c r="B1" s="613" t="s">
        <v>331</v>
      </c>
      <c r="C1" s="613"/>
      <c r="D1" s="613"/>
      <c r="E1" s="613"/>
      <c r="F1" s="613"/>
      <c r="G1" s="613"/>
      <c r="H1" s="613"/>
      <c r="I1" s="217"/>
      <c r="J1" s="336"/>
      <c r="K1" s="336"/>
      <c r="L1" s="336"/>
      <c r="M1" s="337"/>
      <c r="N1" s="336"/>
      <c r="O1" s="336"/>
      <c r="P1" s="336"/>
      <c r="Q1" s="78"/>
    </row>
    <row r="2" spans="2:17" ht="13.5" thickBot="1">
      <c r="B2" s="218" t="s">
        <v>0</v>
      </c>
      <c r="C2" s="219" t="s">
        <v>22</v>
      </c>
      <c r="D2" s="219" t="s">
        <v>23</v>
      </c>
      <c r="E2" s="219" t="s">
        <v>24</v>
      </c>
      <c r="F2" s="219" t="s">
        <v>14</v>
      </c>
      <c r="G2" s="802" t="s">
        <v>332</v>
      </c>
      <c r="H2" s="803"/>
      <c r="I2" s="217"/>
      <c r="O2" s="612"/>
      <c r="P2" s="612"/>
      <c r="Q2" s="78"/>
    </row>
    <row r="3" spans="2:17" ht="14.25" customHeight="1" thickBot="1">
      <c r="B3" s="454" t="s">
        <v>333</v>
      </c>
      <c r="C3" s="274" t="s">
        <v>334</v>
      </c>
      <c r="D3" s="274" t="s">
        <v>240</v>
      </c>
      <c r="E3" s="274" t="s">
        <v>335</v>
      </c>
      <c r="F3" s="455"/>
      <c r="G3" s="804"/>
      <c r="H3" s="805"/>
      <c r="I3" s="217"/>
      <c r="O3" s="612"/>
      <c r="P3" s="612"/>
      <c r="Q3" s="78"/>
    </row>
    <row r="4" spans="2:17" ht="14.25" customHeight="1">
      <c r="B4" s="220" t="s">
        <v>12</v>
      </c>
      <c r="C4" s="281"/>
      <c r="D4" s="456" t="s">
        <v>344</v>
      </c>
      <c r="E4" s="457"/>
      <c r="F4" s="458"/>
      <c r="G4" s="459"/>
      <c r="H4" s="460"/>
      <c r="I4" s="217"/>
      <c r="O4" s="334"/>
      <c r="P4" s="334"/>
      <c r="Q4" s="78"/>
    </row>
    <row r="5" spans="2:17" ht="14.25" customHeight="1">
      <c r="B5" s="226" t="s">
        <v>13</v>
      </c>
      <c r="C5" s="282"/>
      <c r="D5" s="461"/>
      <c r="E5" s="462"/>
      <c r="F5" s="463"/>
      <c r="G5" s="459"/>
      <c r="H5" s="460"/>
      <c r="I5" s="217"/>
      <c r="M5" s="339"/>
      <c r="N5" s="302"/>
      <c r="O5" s="334"/>
      <c r="P5" s="334"/>
      <c r="Q5" s="78"/>
    </row>
    <row r="6" spans="2:17" ht="14.25" customHeight="1" thickBot="1">
      <c r="B6" s="230" t="s">
        <v>336</v>
      </c>
      <c r="C6" s="276"/>
      <c r="D6" s="464"/>
      <c r="E6" s="465"/>
      <c r="F6" s="466"/>
      <c r="G6" s="467"/>
      <c r="H6" s="468"/>
      <c r="I6" s="217"/>
      <c r="J6" s="338"/>
      <c r="M6" s="339"/>
      <c r="N6" s="338"/>
      <c r="O6" s="334"/>
      <c r="P6" s="334"/>
      <c r="Q6" s="78"/>
    </row>
    <row r="7" spans="2:17" ht="14.25" customHeight="1" thickBot="1">
      <c r="B7" s="233"/>
      <c r="C7" s="469"/>
      <c r="D7" s="470"/>
      <c r="E7" s="471"/>
      <c r="F7" s="472"/>
      <c r="G7" s="806" t="s">
        <v>11</v>
      </c>
      <c r="H7" s="807"/>
      <c r="I7" s="217"/>
      <c r="J7" s="338"/>
      <c r="K7" s="473"/>
      <c r="L7" s="474" t="s">
        <v>33</v>
      </c>
      <c r="M7" s="475" t="s">
        <v>174</v>
      </c>
      <c r="N7" s="476" t="s">
        <v>269</v>
      </c>
      <c r="O7" s="413"/>
      <c r="P7" s="413"/>
      <c r="Q7" s="78"/>
    </row>
    <row r="8" spans="2:17" ht="12.75">
      <c r="B8" s="235"/>
      <c r="C8" s="477"/>
      <c r="D8" s="797"/>
      <c r="E8" s="798"/>
      <c r="F8" s="478" t="s">
        <v>25</v>
      </c>
      <c r="G8" s="373">
        <v>15</v>
      </c>
      <c r="H8" s="374">
        <v>20</v>
      </c>
      <c r="I8" s="217"/>
      <c r="J8" s="340"/>
      <c r="K8" s="479" t="s">
        <v>34</v>
      </c>
      <c r="L8" s="480">
        <v>1293</v>
      </c>
      <c r="M8" s="481">
        <v>2.5</v>
      </c>
      <c r="N8" s="482" t="s">
        <v>99</v>
      </c>
      <c r="O8" s="334"/>
      <c r="P8" s="334"/>
      <c r="Q8" s="78"/>
    </row>
    <row r="9" spans="2:17" ht="14.25" customHeight="1">
      <c r="B9" s="238"/>
      <c r="C9" s="477"/>
      <c r="D9" s="463"/>
      <c r="E9" s="471"/>
      <c r="F9" s="483" t="s">
        <v>26</v>
      </c>
      <c r="G9" s="588">
        <v>1500</v>
      </c>
      <c r="H9" s="589"/>
      <c r="I9" s="217"/>
      <c r="J9" s="342"/>
      <c r="K9" s="484" t="s">
        <v>97</v>
      </c>
      <c r="L9" s="485">
        <v>2084</v>
      </c>
      <c r="M9" s="486">
        <v>3.8</v>
      </c>
      <c r="N9" s="487">
        <f>H13</f>
        <v>4.3</v>
      </c>
      <c r="O9" s="334"/>
      <c r="P9" s="334"/>
      <c r="Q9" s="78"/>
    </row>
    <row r="10" spans="2:17" ht="14.25" customHeight="1" thickBot="1">
      <c r="B10" s="240"/>
      <c r="C10" s="488"/>
      <c r="D10" s="463"/>
      <c r="E10" s="489"/>
      <c r="F10" s="490" t="s">
        <v>27</v>
      </c>
      <c r="G10" s="536"/>
      <c r="H10" s="537"/>
      <c r="I10" s="217"/>
      <c r="J10" s="343"/>
      <c r="K10" s="491" t="s">
        <v>337</v>
      </c>
      <c r="L10" s="492">
        <v>1583</v>
      </c>
      <c r="M10" s="493">
        <v>3.8</v>
      </c>
      <c r="N10" s="494">
        <f>H13</f>
        <v>4.3</v>
      </c>
      <c r="O10" s="334"/>
      <c r="P10" s="334"/>
      <c r="Q10" s="78"/>
    </row>
    <row r="11" spans="2:17" ht="14.25" customHeight="1" thickBot="1">
      <c r="B11" s="240"/>
      <c r="C11" s="488"/>
      <c r="D11" s="797"/>
      <c r="E11" s="798"/>
      <c r="F11" s="495" t="s">
        <v>1</v>
      </c>
      <c r="G11" s="368">
        <f>IF($G$9=1500,HLOOKUP($G$8,'Told &amp; COF'!$B$2:$G$13,2),IF($G$9=1000,HLOOKUP($G$8,'Told &amp; COF'!$I$2:$N$13,2)))</f>
        <v>98.4</v>
      </c>
      <c r="H11" s="369">
        <f>IF($G$9=1500,HLOOKUP($H$8,'Told &amp; COF'!$B$2:$G$13,2),IF($G$9=1000,HLOOKUP($H$8,'Told &amp; COF'!$I$2:$N$13,2)))</f>
        <v>98.5</v>
      </c>
      <c r="I11" s="217"/>
      <c r="J11" s="343"/>
      <c r="M11" s="340"/>
      <c r="N11" s="333"/>
      <c r="O11" s="344"/>
      <c r="P11" s="344"/>
      <c r="Q11" s="78"/>
    </row>
    <row r="12" spans="2:17" ht="14.25" customHeight="1" thickBot="1">
      <c r="B12" s="244"/>
      <c r="C12" s="496"/>
      <c r="D12" s="497"/>
      <c r="E12" s="471"/>
      <c r="F12" s="495" t="s">
        <v>2</v>
      </c>
      <c r="G12" s="368">
        <f>IF($G$9=1500,HLOOKUP($G$8,'Told &amp; COF'!$B$2:$G$13,3),IF($G$9=1000,HLOOKUP($G$8,'Told &amp; COF'!$I$2:$N$13,3)))</f>
        <v>96.7</v>
      </c>
      <c r="H12" s="370">
        <f>IF($G$9=1500,HLOOKUP($H$8,'Told &amp; COF'!$B$2:$G$13,3),IF($G$9=1000,HLOOKUP($H$8,'Told &amp; COF'!$I$2:$N$13,3)))</f>
        <v>95.5</v>
      </c>
      <c r="I12" s="217"/>
      <c r="J12" s="345"/>
      <c r="K12" s="624" t="s">
        <v>255</v>
      </c>
      <c r="L12" s="625"/>
      <c r="M12" s="338"/>
      <c r="N12" s="333"/>
      <c r="O12" s="344"/>
      <c r="P12" s="344"/>
      <c r="Q12" s="78"/>
    </row>
    <row r="13" spans="2:17" ht="14.25" customHeight="1">
      <c r="B13" s="247"/>
      <c r="C13" s="498"/>
      <c r="D13" s="497"/>
      <c r="E13" s="471"/>
      <c r="F13" s="495" t="s">
        <v>3</v>
      </c>
      <c r="G13" s="368">
        <f>IF($B$45=FALSE,IF($G$9=1500,HLOOKUP($G$8,'Told &amp; COF'!$B$2:$G$13,4),IF($G$9=1000,HLOOKUP($G$8,'Told &amp; COF'!$I$2:$N$13,4))),IF($G$9=1500,HLOOKUP($G$8,'Told &amp; COF'!$B$2:$G$22,14),IF($G$9=1000,HLOOKUP($G$8,'Told &amp; COF'!$I$2:$N$22,14))))</f>
        <v>4.9</v>
      </c>
      <c r="H13" s="369">
        <f>IF($B$45=FALSE,IF($G$9=1500,HLOOKUP($H$8,'Told &amp; COF'!$B$2:$G$13,4),IF($G$9=1000,HLOOKUP($H$8,'Told &amp; COF'!$I$2:$N$13,4))),IF($G$9=1500,HLOOKUP($H$8,'Told &amp; COF'!$B$2:$G$22,14),IF($G$9=1000,HLOOKUP($H$8,'Told &amp; COF'!$I$2:$N$22,14))))</f>
        <v>4.3</v>
      </c>
      <c r="I13" s="217"/>
      <c r="J13" s="347"/>
      <c r="K13" s="404" t="s">
        <v>256</v>
      </c>
      <c r="L13" s="405" t="s">
        <v>338</v>
      </c>
      <c r="M13" s="338"/>
      <c r="N13" s="333"/>
      <c r="O13" s="344"/>
      <c r="P13" s="344"/>
      <c r="Q13" s="78"/>
    </row>
    <row r="14" spans="2:17" ht="14.25" customHeight="1">
      <c r="B14" s="250"/>
      <c r="C14" s="499"/>
      <c r="D14" s="497"/>
      <c r="E14" s="500"/>
      <c r="F14" s="495" t="s">
        <v>4</v>
      </c>
      <c r="G14" s="371">
        <f>IF($B$45=FALSE,IF($G$9=1500,HLOOKUP($G$8,'Told &amp; COF'!$B$2:$G$13,5),IF($G$9=1000,HLOOKUP($G$8,'Told &amp; COF'!$I$2:$N$13,5))),IF($G$9=1500,HLOOKUP($G$8,'Told &amp; COF'!$B$2:$G$22,15),IF($G$9=1000,HLOOKUP($G$8,'Told &amp; COF'!$I$2:$N$22,15))))</f>
        <v>4223</v>
      </c>
      <c r="H14" s="372">
        <f>IF($B$45=FALSE,IF($G$9=1500,HLOOKUP($H$8,'Told &amp; COF'!$B$2:$G$13,5),IF($G$9=1000,HLOOKUP($H$8,'Told &amp; COF'!$I$2:$N$13,5))),IF($G$9=1500,HLOOKUP($H$8,'Told &amp; COF'!$B$2:$G$22,15),IF($G$9=1000,HLOOKUP($H$8,'Told &amp; COF'!$I$2:$N$22,15))))</f>
        <v>4431</v>
      </c>
      <c r="I14" s="217"/>
      <c r="J14" s="341"/>
      <c r="K14" s="380" t="s">
        <v>337</v>
      </c>
      <c r="L14" s="381" t="s">
        <v>338</v>
      </c>
      <c r="M14" s="340"/>
      <c r="N14" s="333"/>
      <c r="O14" s="349"/>
      <c r="P14" s="349"/>
      <c r="Q14" s="78"/>
    </row>
    <row r="15" spans="2:17" ht="14.25" customHeight="1">
      <c r="B15" s="244"/>
      <c r="C15" s="477"/>
      <c r="D15" s="497"/>
      <c r="E15" s="471"/>
      <c r="F15" s="495" t="s">
        <v>89</v>
      </c>
      <c r="G15" s="371">
        <f>IF($B$45=FALSE,IF($G$9=1500,HLOOKUP($G$8,'Told &amp; COF'!$B$2:$G$13,6),IF($G$9=1000,HLOOKUP($G$8,'Told &amp; COF'!$I$2:$N$13,6))),IF($G$9=1500,HLOOKUP($G$8,'Told &amp; COF'!$B$2:$G$22,16),IF($G$9=1000,HLOOKUP($G$8,'Told &amp; COF'!$I$2:$N$22,16))))</f>
        <v>4379</v>
      </c>
      <c r="H15" s="372">
        <f>IF($B$45=FALSE,IF($G$9=1500,HLOOKUP($H$8,'Told &amp; COF'!$B$2:$G$13,6),IF($G$9=1000,HLOOKUP($H$8,'Told &amp; COF'!$I$2:$N$13,6))),IF($G$9=1500,HLOOKUP($H$8,'Told &amp; COF'!$B$2:$G$22,16),IF($G$9=1000,HLOOKUP($H$8,'Told &amp; COF'!$I$2:$N$22,16))))</f>
        <v>4659</v>
      </c>
      <c r="I15" s="217"/>
      <c r="J15" s="345"/>
      <c r="K15" s="380"/>
      <c r="L15" s="381"/>
      <c r="M15" s="338"/>
      <c r="N15" s="333"/>
      <c r="O15" s="349"/>
      <c r="P15" s="349"/>
      <c r="Q15" s="78"/>
    </row>
    <row r="16" spans="2:17" ht="14.25" customHeight="1" thickBot="1">
      <c r="B16" s="252"/>
      <c r="C16" s="501"/>
      <c r="D16" s="463"/>
      <c r="E16" s="471"/>
      <c r="F16" s="495" t="s">
        <v>5</v>
      </c>
      <c r="G16" s="371">
        <f>IF($B$45=FALSE,IF($G$9=1500,HLOOKUP($G$8,'Told &amp; COF'!$B$2:$G$13,7),IF($G$9=1000,HLOOKUP($G$8,'Told &amp; COF'!$I$2:$N$13,7))),IF($G$9=1500,HLOOKUP($G$8,'Told &amp; COF'!$B$2:$G$22,17),IF($G$9=1000,HLOOKUP($G$8,'Told &amp; COF'!$I$2:$N$22,17))))</f>
        <v>101</v>
      </c>
      <c r="H16" s="372">
        <f>IF($B$45=FALSE,IF($G$9=1500,HLOOKUP($H$8,'Told &amp; COF'!$B$2:$G$13,7),IF($G$9=1000,HLOOKUP($H$8,'Told &amp; COF'!$I$2:$N$13,7))),IF($G$9=1500,HLOOKUP($H$8,'Told &amp; COF'!$B$2:$G$22,17),IF($G$9=1000,HLOOKUP($H$8,'Told &amp; COF'!$I$2:$N$22,17))))</f>
        <v>102</v>
      </c>
      <c r="I16" s="217"/>
      <c r="J16" s="336"/>
      <c r="K16" s="516"/>
      <c r="L16" s="384"/>
      <c r="M16" s="338"/>
      <c r="N16" s="333"/>
      <c r="O16" s="349"/>
      <c r="P16" s="349"/>
      <c r="Q16" s="78"/>
    </row>
    <row r="17" spans="2:17" ht="14.25" customHeight="1">
      <c r="B17" s="502"/>
      <c r="C17" s="501"/>
      <c r="D17" s="463"/>
      <c r="E17" s="503"/>
      <c r="F17" s="495" t="s">
        <v>10</v>
      </c>
      <c r="G17" s="371">
        <f>IF($B$45=FALSE,IF($G$9=1500,HLOOKUP($G$8,'Told &amp; COF'!$B$2:$G$13,8),IF($G$9=1000,HLOOKUP($G$8,'Told &amp; COF'!$I$2:$N$13,8))),"")</f>
        <v>140</v>
      </c>
      <c r="H17" s="372">
        <f>IF($B$45=FALSE,IF($G$9=1500,HLOOKUP($H$8,'Told &amp; COF'!$B$2:$G$13,8),IF($G$9=1000,HLOOKUP($H$8,'Told &amp; COF'!$I$2:$N$13,8))),"")</f>
        <v>140</v>
      </c>
      <c r="I17" s="217"/>
      <c r="J17" s="339"/>
      <c r="K17" s="329"/>
      <c r="L17" s="302"/>
      <c r="M17" s="345"/>
      <c r="N17" s="333"/>
      <c r="O17" s="349"/>
      <c r="P17" s="349"/>
      <c r="Q17" s="78"/>
    </row>
    <row r="18" spans="2:17" ht="12.75">
      <c r="B18" s="504"/>
      <c r="C18" s="505"/>
      <c r="D18" s="505"/>
      <c r="E18" s="471"/>
      <c r="F18" s="237" t="s">
        <v>6</v>
      </c>
      <c r="G18" s="371">
        <f>IF($B$45=FALSE,IF($G$9=1500,HLOOKUP($G$8,'Told &amp; COF'!$B$2:$G$13,9),IF($G$9=1000,HLOOKUP($G$8,'Told &amp; COF'!$I$2:$N$13,9))),IF($G$9=1500,HLOOKUP($G$8,'Told &amp; COF'!$B$2:$G$22,18),IF($G$9=1000,HLOOKUP($G$8,'Told &amp; COF'!$I$2:$N$22,18))))</f>
        <v>135</v>
      </c>
      <c r="H18" s="372">
        <f>IF($B$45=FALSE,IF($G$9=1500,HLOOKUP($H$8,'Told &amp; COF'!$B$2:$G$13,9),IF($G$9=1000,HLOOKUP($H$8,'Told &amp; COF'!$I$2:$N$13,9))),IF($G$9=1500,HLOOKUP($H$8,'Told &amp; COF'!$B$2:$G$22,18),IF($G$9=1000,HLOOKUP($H$8,'Told &amp; COF'!$I$2:$N$22,18))))</f>
        <v>134</v>
      </c>
      <c r="I18" s="217"/>
      <c r="J18" s="350"/>
      <c r="K18" s="338"/>
      <c r="L18" s="340"/>
      <c r="M18" s="338"/>
      <c r="N18" s="333"/>
      <c r="O18" s="349"/>
      <c r="P18" s="349"/>
      <c r="Q18" s="78"/>
    </row>
    <row r="19" spans="2:17" ht="12.75">
      <c r="B19" s="504"/>
      <c r="C19" s="505"/>
      <c r="D19" s="505"/>
      <c r="E19" s="471"/>
      <c r="F19" s="237" t="s">
        <v>7</v>
      </c>
      <c r="G19" s="371">
        <f>IF($B$45=FALSE,IF($G$9=1500,HLOOKUP($G$8,'Told &amp; COF'!$B$2:$G$13,10),IF($G$9=1000,HLOOKUP($G$8,'Told &amp; COF'!$I$2:$N$13,10))),IF($G$9=1500,HLOOKUP($G$8,'Told &amp; COF'!$B$2:$G$22,19),IF($G$9=1000,HLOOKUP($G$8,'Told &amp; COF'!$I$2:$N$22,19))))</f>
        <v>115</v>
      </c>
      <c r="H19" s="372">
        <f>IF($B$45=FALSE,IF($G$9=1500,HLOOKUP($H$8,'Told &amp; COF'!$B$2:$G$13,10),IF($G$9=1000,HLOOKUP($H$8,'Told &amp; COF'!$I$2:$N$13,10))),IF($G$9=1500,HLOOKUP($H$8,'Told &amp; COF'!$B$2:$G$22,19),IF($G$9=1000,HLOOKUP($H$8,'Told &amp; COF'!$I$2:$N$22,19))))</f>
        <v>115</v>
      </c>
      <c r="I19" s="217"/>
      <c r="J19" s="338"/>
      <c r="K19" s="338"/>
      <c r="L19" s="341"/>
      <c r="M19" s="338"/>
      <c r="N19" s="333"/>
      <c r="O19" s="349"/>
      <c r="P19" s="349"/>
      <c r="Q19" s="78"/>
    </row>
    <row r="20" spans="2:17" ht="12.75">
      <c r="B20" s="504"/>
      <c r="C20" s="506"/>
      <c r="D20" s="506"/>
      <c r="E20" s="507"/>
      <c r="F20" s="237" t="s">
        <v>8</v>
      </c>
      <c r="G20" s="371">
        <f>IF($B$45=FALSE,IF($G$9=1500,HLOOKUP($G$8,'Told &amp; COF'!$B$2:$G$13,11),IF($G$9=1000,HLOOKUP($G$8,'Told &amp; COF'!$I$2:$N$13,11))),IF($G$9=1500,HLOOKUP($G$8,'Told &amp; COF'!$B$2:$G$22,20),IF($G$9=1000,HLOOKUP($G$8,'Told &amp; COF'!$I$2:$N$22,20))))</f>
        <v>123</v>
      </c>
      <c r="H20" s="372">
        <f>IF($B$45=FALSE,IF($G$9=1500,HLOOKUP($H$8,'Told &amp; COF'!$B$2:$G$13,11),IF($G$9=1000,HLOOKUP($H$8,'Told &amp; COF'!$I$2:$N$13,11))),IF($G$9=1500,HLOOKUP($H$8,'Told &amp; COF'!$B$2:$G$22,20),IF($G$9=1000,HLOOKUP($H$8,'Told &amp; COF'!$I$2:$N$22,20))))</f>
        <v>123</v>
      </c>
      <c r="I20" s="217"/>
      <c r="J20" s="350"/>
      <c r="K20" s="338"/>
      <c r="L20" s="341"/>
      <c r="M20" s="338"/>
      <c r="N20" s="333"/>
      <c r="O20" s="349"/>
      <c r="P20" s="349"/>
      <c r="Q20" s="78"/>
    </row>
    <row r="21" spans="2:17" ht="12.75">
      <c r="B21" s="504"/>
      <c r="C21" s="470"/>
      <c r="D21" s="470"/>
      <c r="E21" s="508"/>
      <c r="F21" s="237" t="s">
        <v>9</v>
      </c>
      <c r="G21" s="371">
        <f>IF($B$45=FALSE,IF($G$9=1500,HLOOKUP($G$8,'Told &amp; COF'!$B$2:$G$13,12),IF($G$9=1000,HLOOKUP($G$8,'Told &amp; COF'!$I$2:$N$13,12))),IF($G$9=1500,HLOOKUP($G$8,'Told &amp; COF'!$B$2:$G$22,21),IF($G$9=1000,HLOOKUP($G$8,'Told &amp; COF'!$I$2:$N$22,21))))</f>
        <v>115</v>
      </c>
      <c r="H21" s="372">
        <f>IF($B$45=FALSE,IF($G$9=1500,HLOOKUP($H$8,'Told &amp; COF'!$B$2:$G$13,12),IF($G$9=1000,HLOOKUP($H$8,'Told &amp; COF'!$I$2:$N$13,12))),IF($G$9=1500,HLOOKUP($H$8,'Told &amp; COF'!$B$2:$G$22,21),IF($G$9=1000,HLOOKUP($H$8,'Told &amp; COF'!$I$2:$N$22,21))))</f>
        <v>115</v>
      </c>
      <c r="I21" s="217"/>
      <c r="J21" s="302"/>
      <c r="K21" s="336"/>
      <c r="L21" s="348"/>
      <c r="M21" s="336"/>
      <c r="N21" s="333"/>
      <c r="O21" s="349"/>
      <c r="P21" s="349"/>
      <c r="Q21" s="78"/>
    </row>
    <row r="22" spans="2:17" ht="13.5" thickBot="1">
      <c r="B22" s="509"/>
      <c r="C22" s="510"/>
      <c r="D22" s="510"/>
      <c r="E22" s="511"/>
      <c r="F22" s="133" t="s">
        <v>258</v>
      </c>
      <c r="G22" s="371">
        <f>IF($B$45=FALSE,IF($G$9=1500,HLOOKUP($G$8,'Told &amp; COF'!$B$2:$G$13,5),IF($G$9=1000,HLOOKUP($G$8,'Told &amp; COF'!$I$2:$N$13,5))),IF($G$9=1500,HLOOKUP($G$8,'Told &amp; COF'!$B$2:$G$23,22),IF($G$9=1000,HLOOKUP($G$8,'Told &amp; COF'!$I$2:$N$23,22))))</f>
        <v>4223</v>
      </c>
      <c r="H22" s="375">
        <f>IF($B$45=FALSE,IF($G$9=1500,HLOOKUP($H$8,'Told &amp; COF'!$B$2:$G$13,5),IF($G$9=1000,HLOOKUP($H$8,'Told &amp; COF'!$I$2:$N$13,5))),IF($G$9=1500,HLOOKUP($H$8,'Told &amp; COF'!$B$2:$G$23,22),IF($G$9=1000,HLOOKUP($H$8,'Told &amp; COF'!$I$2:$N$23,22))))</f>
        <v>4431</v>
      </c>
      <c r="I22" s="217"/>
      <c r="J22" s="341"/>
      <c r="K22" s="341"/>
      <c r="L22" s="341"/>
      <c r="M22" s="341"/>
      <c r="N22" s="302"/>
      <c r="O22" s="349"/>
      <c r="P22" s="349"/>
      <c r="Q22" s="78"/>
    </row>
    <row r="23" spans="2:17" ht="12.75">
      <c r="B23" s="257" t="s">
        <v>20</v>
      </c>
      <c r="C23" s="258"/>
      <c r="D23" s="258"/>
      <c r="E23" s="258"/>
      <c r="F23" s="258"/>
      <c r="G23" s="258"/>
      <c r="H23" s="259"/>
      <c r="I23" s="217"/>
      <c r="J23" s="351"/>
      <c r="K23" s="336"/>
      <c r="L23" s="336"/>
      <c r="M23" s="336"/>
      <c r="N23" s="336"/>
      <c r="O23" s="336"/>
      <c r="P23" s="333"/>
      <c r="Q23" s="78"/>
    </row>
    <row r="24" spans="2:17" ht="12.75">
      <c r="B24" s="260" t="s">
        <v>226</v>
      </c>
      <c r="C24" s="216"/>
      <c r="D24" s="216"/>
      <c r="E24" s="216"/>
      <c r="F24" s="216"/>
      <c r="G24" s="216"/>
      <c r="H24" s="261"/>
      <c r="I24" s="217"/>
      <c r="J24" s="352"/>
      <c r="K24" s="336"/>
      <c r="L24" s="336"/>
      <c r="M24" s="336"/>
      <c r="N24" s="336"/>
      <c r="O24" s="336"/>
      <c r="P24" s="333"/>
      <c r="Q24" s="78"/>
    </row>
    <row r="25" spans="2:17" ht="13.5" thickBot="1">
      <c r="B25" s="252"/>
      <c r="C25" s="216"/>
      <c r="D25" s="216"/>
      <c r="E25" s="216"/>
      <c r="F25" s="216"/>
      <c r="G25" s="216"/>
      <c r="H25" s="261"/>
      <c r="I25" s="217"/>
      <c r="J25" s="336"/>
      <c r="K25" s="336"/>
      <c r="L25" s="336"/>
      <c r="M25" s="336"/>
      <c r="N25" s="336"/>
      <c r="O25" s="336"/>
      <c r="P25" s="333"/>
      <c r="Q25" s="78"/>
    </row>
    <row r="26" spans="2:17" ht="13.5" thickBot="1">
      <c r="B26" s="795" t="s">
        <v>339</v>
      </c>
      <c r="C26" s="796"/>
      <c r="D26" s="618" t="s">
        <v>340</v>
      </c>
      <c r="E26" s="618"/>
      <c r="F26" s="621" t="s">
        <v>341</v>
      </c>
      <c r="G26" s="618"/>
      <c r="H26" s="622"/>
      <c r="I26" s="217"/>
      <c r="J26" s="794"/>
      <c r="K26" s="794"/>
      <c r="L26" s="627"/>
      <c r="M26" s="627"/>
      <c r="N26" s="627"/>
      <c r="O26" s="627"/>
      <c r="P26" s="627"/>
      <c r="Q26" s="78"/>
    </row>
    <row r="27" spans="2:17" ht="12.75">
      <c r="B27" s="262" t="s">
        <v>227</v>
      </c>
      <c r="C27" s="258"/>
      <c r="D27" s="258"/>
      <c r="E27" s="258"/>
      <c r="F27" s="258"/>
      <c r="G27" s="258"/>
      <c r="H27" s="263"/>
      <c r="I27" s="217"/>
      <c r="J27" s="353"/>
      <c r="K27" s="336"/>
      <c r="L27" s="336"/>
      <c r="M27" s="336"/>
      <c r="N27" s="336"/>
      <c r="O27" s="336"/>
      <c r="P27" s="336"/>
      <c r="Q27" s="78"/>
    </row>
    <row r="28" spans="2:17" ht="15" customHeight="1">
      <c r="B28" s="772" t="s">
        <v>342</v>
      </c>
      <c r="C28" s="773"/>
      <c r="D28" s="773"/>
      <c r="E28" s="773"/>
      <c r="F28" s="773"/>
      <c r="G28" s="216"/>
      <c r="H28" s="264"/>
      <c r="I28" s="217"/>
      <c r="J28" s="352"/>
      <c r="K28" s="336"/>
      <c r="L28" s="336"/>
      <c r="M28" s="336"/>
      <c r="N28" s="336"/>
      <c r="O28" s="336"/>
      <c r="P28" s="336"/>
      <c r="Q28" s="78"/>
    </row>
    <row r="29" spans="2:17" ht="16.5" customHeight="1">
      <c r="B29" s="772" t="s">
        <v>343</v>
      </c>
      <c r="C29" s="773"/>
      <c r="D29" s="773"/>
      <c r="E29" s="773"/>
      <c r="F29" s="773"/>
      <c r="G29" s="216"/>
      <c r="H29" s="264"/>
      <c r="I29" s="217"/>
      <c r="J29" s="352"/>
      <c r="K29" s="336"/>
      <c r="L29" s="336"/>
      <c r="M29" s="336"/>
      <c r="N29" s="336"/>
      <c r="O29" s="336"/>
      <c r="P29" s="336"/>
      <c r="Q29" s="78"/>
    </row>
    <row r="30" spans="2:17" ht="17.25" customHeight="1">
      <c r="B30" s="772" t="s">
        <v>345</v>
      </c>
      <c r="C30" s="773"/>
      <c r="D30" s="773"/>
      <c r="E30" s="773"/>
      <c r="F30" s="773"/>
      <c r="G30" s="216"/>
      <c r="H30" s="264"/>
      <c r="I30" s="217"/>
      <c r="J30" s="352"/>
      <c r="K30" s="336"/>
      <c r="L30" s="336"/>
      <c r="M30" s="336"/>
      <c r="N30" s="336"/>
      <c r="O30" s="336"/>
      <c r="P30" s="336"/>
      <c r="Q30" s="78"/>
    </row>
    <row r="31" spans="2:17" ht="12.75" customHeight="1">
      <c r="B31" s="453"/>
      <c r="C31" s="118"/>
      <c r="D31" s="532"/>
      <c r="E31" s="532"/>
      <c r="F31" s="532"/>
      <c r="G31" s="609"/>
      <c r="H31" s="808"/>
      <c r="I31" s="217"/>
      <c r="J31" s="118"/>
      <c r="K31" s="118"/>
      <c r="L31" s="532"/>
      <c r="M31" s="532"/>
      <c r="N31" s="532"/>
      <c r="O31" s="609"/>
      <c r="P31" s="609"/>
      <c r="Q31" s="78"/>
    </row>
    <row r="32" spans="2:17" ht="12.75" customHeight="1">
      <c r="B32" s="182"/>
      <c r="C32" s="174"/>
      <c r="D32" s="174"/>
      <c r="E32" s="339"/>
      <c r="F32" s="339"/>
      <c r="G32" s="609"/>
      <c r="H32" s="808"/>
      <c r="I32" s="217"/>
      <c r="J32" s="174"/>
      <c r="K32" s="174"/>
      <c r="L32" s="174"/>
      <c r="M32" s="339"/>
      <c r="N32" s="339"/>
      <c r="O32" s="609"/>
      <c r="P32" s="609"/>
      <c r="Q32" s="78"/>
    </row>
    <row r="33" spans="2:17" ht="12.75" customHeight="1">
      <c r="B33" s="182"/>
      <c r="C33" s="174"/>
      <c r="D33" s="174"/>
      <c r="E33" s="339"/>
      <c r="F33" s="339"/>
      <c r="G33" s="607"/>
      <c r="H33" s="801"/>
      <c r="I33" s="217"/>
      <c r="J33" s="174"/>
      <c r="K33" s="174"/>
      <c r="L33" s="174"/>
      <c r="M33" s="339"/>
      <c r="N33" s="339"/>
      <c r="O33" s="607"/>
      <c r="P33" s="607"/>
      <c r="Q33" s="78"/>
    </row>
    <row r="34" spans="2:17" ht="12.75" customHeight="1">
      <c r="B34" s="182"/>
      <c r="C34" s="174"/>
      <c r="D34" s="174"/>
      <c r="E34" s="354"/>
      <c r="F34" s="339"/>
      <c r="G34" s="607"/>
      <c r="H34" s="801"/>
      <c r="I34" s="217"/>
      <c r="J34" s="174"/>
      <c r="K34" s="174"/>
      <c r="L34" s="174"/>
      <c r="M34" s="354"/>
      <c r="N34" s="339"/>
      <c r="O34" s="607"/>
      <c r="P34" s="607"/>
      <c r="Q34" s="78"/>
    </row>
    <row r="35" spans="2:17" ht="12.75" customHeight="1">
      <c r="B35" s="182"/>
      <c r="C35" s="174"/>
      <c r="D35" s="532"/>
      <c r="E35" s="532"/>
      <c r="F35" s="532"/>
      <c r="G35" s="607"/>
      <c r="H35" s="801"/>
      <c r="I35" s="217"/>
      <c r="J35" s="174"/>
      <c r="K35" s="174"/>
      <c r="L35" s="532"/>
      <c r="M35" s="532"/>
      <c r="N35" s="532"/>
      <c r="O35" s="607"/>
      <c r="P35" s="607"/>
      <c r="Q35" s="78"/>
    </row>
    <row r="36" spans="2:17" ht="12.75" customHeight="1">
      <c r="B36" s="182"/>
      <c r="C36" s="174"/>
      <c r="D36" s="355"/>
      <c r="E36" s="118"/>
      <c r="F36" s="356"/>
      <c r="G36" s="607"/>
      <c r="H36" s="801"/>
      <c r="I36" s="217"/>
      <c r="J36" s="174"/>
      <c r="K36" s="174"/>
      <c r="L36" s="355"/>
      <c r="M36" s="118"/>
      <c r="N36" s="356"/>
      <c r="O36" s="607"/>
      <c r="P36" s="607"/>
      <c r="Q36" s="78"/>
    </row>
    <row r="37" spans="2:17" ht="12.75" customHeight="1">
      <c r="B37" s="182"/>
      <c r="C37" s="174"/>
      <c r="D37" s="118"/>
      <c r="E37" s="174"/>
      <c r="F37" s="357"/>
      <c r="G37" s="607"/>
      <c r="H37" s="801"/>
      <c r="I37" s="217"/>
      <c r="J37" s="174"/>
      <c r="K37" s="174"/>
      <c r="L37" s="118"/>
      <c r="M37" s="174"/>
      <c r="N37" s="357"/>
      <c r="O37" s="607"/>
      <c r="P37" s="607"/>
      <c r="Q37" s="78"/>
    </row>
    <row r="38" spans="2:17" ht="27.75" customHeight="1" thickBot="1">
      <c r="B38" s="512"/>
      <c r="C38" s="513"/>
      <c r="D38" s="514"/>
      <c r="E38" s="515"/>
      <c r="F38" s="515"/>
      <c r="G38" s="799"/>
      <c r="H38" s="800"/>
      <c r="I38" s="217"/>
      <c r="J38" s="345"/>
      <c r="K38" s="345"/>
      <c r="L38" s="335"/>
      <c r="M38" s="309"/>
      <c r="N38" s="309"/>
      <c r="O38" s="623"/>
      <c r="P38" s="623"/>
      <c r="Q38" s="78"/>
    </row>
    <row r="39" spans="2:17" ht="12.75">
      <c r="B39" s="272" t="s">
        <v>112</v>
      </c>
      <c r="C39" s="273"/>
      <c r="D39" s="273"/>
      <c r="E39" s="273"/>
      <c r="F39" s="273"/>
      <c r="G39" s="273"/>
      <c r="H39" s="273"/>
      <c r="I39" s="217"/>
      <c r="J39" s="341"/>
      <c r="K39" s="336"/>
      <c r="L39" s="336"/>
      <c r="M39" s="336"/>
      <c r="N39" s="336"/>
      <c r="O39" s="336"/>
      <c r="P39" s="336"/>
      <c r="Q39" s="78"/>
    </row>
    <row r="45" ht="12.75" hidden="1">
      <c r="B45" t="b">
        <v>0</v>
      </c>
    </row>
  </sheetData>
  <sheetProtection/>
  <mergeCells count="38">
    <mergeCell ref="O37:P37"/>
    <mergeCell ref="O33:P33"/>
    <mergeCell ref="O34:P34"/>
    <mergeCell ref="D31:F31"/>
    <mergeCell ref="G36:H36"/>
    <mergeCell ref="G37:H37"/>
    <mergeCell ref="G31:H32"/>
    <mergeCell ref="G33:H33"/>
    <mergeCell ref="D35:F35"/>
    <mergeCell ref="G10:H10"/>
    <mergeCell ref="G7:H7"/>
    <mergeCell ref="O2:P2"/>
    <mergeCell ref="O3:P3"/>
    <mergeCell ref="D11:E11"/>
    <mergeCell ref="B1:H1"/>
    <mergeCell ref="D8:E8"/>
    <mergeCell ref="G38:H38"/>
    <mergeCell ref="G35:H35"/>
    <mergeCell ref="G34:H34"/>
    <mergeCell ref="F26:H26"/>
    <mergeCell ref="G2:H2"/>
    <mergeCell ref="G3:H3"/>
    <mergeCell ref="G9:H9"/>
    <mergeCell ref="B28:F28"/>
    <mergeCell ref="B29:F29"/>
    <mergeCell ref="B30:F30"/>
    <mergeCell ref="B26:C26"/>
    <mergeCell ref="D26:E26"/>
    <mergeCell ref="O38:P38"/>
    <mergeCell ref="O35:P35"/>
    <mergeCell ref="K12:L12"/>
    <mergeCell ref="N26:P26"/>
    <mergeCell ref="L31:N31"/>
    <mergeCell ref="O36:P36"/>
    <mergeCell ref="J26:K26"/>
    <mergeCell ref="L26:M26"/>
    <mergeCell ref="L35:N35"/>
    <mergeCell ref="O31:P32"/>
  </mergeCells>
  <printOptions/>
  <pageMargins left="0.21" right="0.23" top="1" bottom="0.5" header="0.5" footer="0.5"/>
  <pageSetup fitToHeight="1" fitToWidth="1" horizontalDpi="360" verticalDpi="360" orientation="landscape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4"/>
  <sheetViews>
    <sheetView view="pageBreakPreview" zoomScaleSheetLayoutView="100" workbookViewId="0" topLeftCell="B1">
      <selection activeCell="G3" sqref="G3"/>
    </sheetView>
  </sheetViews>
  <sheetFormatPr defaultColWidth="9.140625" defaultRowHeight="12.75"/>
  <cols>
    <col min="1" max="1" width="0.85546875" style="1" hidden="1" customWidth="1"/>
    <col min="2" max="2" width="9.8515625" style="1" customWidth="1"/>
    <col min="3" max="3" width="10.57421875" style="1" customWidth="1"/>
    <col min="4" max="4" width="11.7109375" style="1" customWidth="1"/>
    <col min="5" max="5" width="10.28125" style="1" customWidth="1"/>
    <col min="6" max="6" width="6.7109375" style="1" customWidth="1"/>
    <col min="7" max="7" width="4.28125" style="1" customWidth="1"/>
    <col min="8" max="8" width="4.140625" style="1" customWidth="1"/>
    <col min="9" max="9" width="4.421875" style="1" customWidth="1"/>
    <col min="10" max="10" width="7.7109375" style="1" customWidth="1"/>
    <col min="11" max="11" width="9.57421875" style="1" customWidth="1"/>
    <col min="12" max="12" width="9.8515625" style="1" customWidth="1"/>
    <col min="13" max="13" width="11.7109375" style="1" customWidth="1"/>
    <col min="14" max="14" width="10.421875" style="1" customWidth="1"/>
    <col min="15" max="15" width="6.7109375" style="1" customWidth="1"/>
    <col min="16" max="18" width="4.28125" style="1" customWidth="1"/>
    <col min="19" max="16384" width="9.140625" style="1" customWidth="1"/>
  </cols>
  <sheetData>
    <row r="1" spans="2:18" ht="17.25" customHeight="1" thickBot="1">
      <c r="B1" s="838" t="s">
        <v>19</v>
      </c>
      <c r="C1" s="838"/>
      <c r="D1" s="838"/>
      <c r="E1" s="838"/>
      <c r="F1" s="838"/>
      <c r="G1" s="838"/>
      <c r="H1" s="838"/>
      <c r="I1" s="838"/>
      <c r="K1" s="837" t="s">
        <v>55</v>
      </c>
      <c r="L1" s="837"/>
      <c r="M1" s="837"/>
      <c r="N1" s="837"/>
      <c r="O1" s="837"/>
      <c r="P1" s="837"/>
      <c r="Q1" s="837"/>
      <c r="R1" s="837"/>
    </row>
    <row r="2" spans="2:18" ht="12.75">
      <c r="B2" s="34" t="s">
        <v>0</v>
      </c>
      <c r="C2" s="35" t="s">
        <v>22</v>
      </c>
      <c r="D2" s="35" t="s">
        <v>23</v>
      </c>
      <c r="E2" s="38" t="s">
        <v>24</v>
      </c>
      <c r="F2" s="809" t="s">
        <v>11</v>
      </c>
      <c r="G2" s="810"/>
      <c r="H2" s="810"/>
      <c r="I2" s="811"/>
      <c r="K2" s="60"/>
      <c r="L2" s="60"/>
      <c r="M2" s="60"/>
      <c r="N2" s="60"/>
      <c r="O2" s="819"/>
      <c r="P2" s="819"/>
      <c r="Q2" s="819"/>
      <c r="R2" s="819"/>
    </row>
    <row r="3" spans="2:18" ht="15" customHeight="1" thickBot="1">
      <c r="B3" s="22"/>
      <c r="C3" s="7"/>
      <c r="D3" s="20"/>
      <c r="E3" s="12"/>
      <c r="F3" s="45" t="s">
        <v>25</v>
      </c>
      <c r="G3" s="49">
        <v>15</v>
      </c>
      <c r="H3" s="49">
        <v>20</v>
      </c>
      <c r="I3" s="51">
        <v>25</v>
      </c>
      <c r="K3" s="61"/>
      <c r="L3" s="61"/>
      <c r="M3" s="61"/>
      <c r="N3" s="61"/>
      <c r="O3" s="59"/>
      <c r="P3" s="59"/>
      <c r="Q3" s="59"/>
      <c r="R3" s="59"/>
    </row>
    <row r="4" spans="2:18" ht="13.5" customHeight="1">
      <c r="B4" s="36" t="s">
        <v>14</v>
      </c>
      <c r="C4" s="37" t="s">
        <v>12</v>
      </c>
      <c r="D4" s="37" t="s">
        <v>13</v>
      </c>
      <c r="E4" s="39" t="s">
        <v>30</v>
      </c>
      <c r="F4" s="47" t="s">
        <v>26</v>
      </c>
      <c r="G4" s="841">
        <v>1500</v>
      </c>
      <c r="H4" s="842"/>
      <c r="I4" s="843"/>
      <c r="K4" s="62"/>
      <c r="L4" s="62"/>
      <c r="M4" s="62"/>
      <c r="N4" s="63"/>
      <c r="O4" s="64"/>
      <c r="P4" s="64"/>
      <c r="Q4" s="64"/>
      <c r="R4" s="64"/>
    </row>
    <row r="5" spans="2:18" ht="15" customHeight="1" thickBot="1">
      <c r="B5" s="15"/>
      <c r="C5" s="46"/>
      <c r="D5" s="46"/>
      <c r="E5" s="23"/>
      <c r="F5" s="45" t="s">
        <v>27</v>
      </c>
      <c r="G5" s="50"/>
      <c r="H5" s="50" t="s">
        <v>39</v>
      </c>
      <c r="I5" s="52"/>
      <c r="K5" s="61"/>
      <c r="L5" s="65"/>
      <c r="M5" s="65"/>
      <c r="N5" s="61"/>
      <c r="O5" s="59"/>
      <c r="P5" s="59"/>
      <c r="Q5" s="59"/>
      <c r="R5" s="59"/>
    </row>
    <row r="6" spans="2:18" ht="12.75">
      <c r="B6" s="18" t="s">
        <v>15</v>
      </c>
      <c r="C6" s="5"/>
      <c r="D6" s="18" t="s">
        <v>16</v>
      </c>
      <c r="E6" s="7"/>
      <c r="F6" s="45" t="s">
        <v>1</v>
      </c>
      <c r="G6" s="50">
        <v>98.4</v>
      </c>
      <c r="H6" s="50">
        <v>98.5</v>
      </c>
      <c r="I6" s="52">
        <v>98</v>
      </c>
      <c r="K6" s="66"/>
      <c r="L6" s="61"/>
      <c r="M6" s="66"/>
      <c r="N6" s="61"/>
      <c r="O6" s="59"/>
      <c r="P6" s="59"/>
      <c r="Q6" s="59"/>
      <c r="R6" s="59"/>
    </row>
    <row r="7" spans="2:18" ht="12.75">
      <c r="B7" s="830"/>
      <c r="C7" s="831"/>
      <c r="D7" s="830"/>
      <c r="E7" s="831"/>
      <c r="F7" s="45" t="s">
        <v>2</v>
      </c>
      <c r="G7" s="50">
        <v>96.7</v>
      </c>
      <c r="H7" s="50">
        <v>95.5</v>
      </c>
      <c r="I7" s="52">
        <v>94.9</v>
      </c>
      <c r="K7" s="829"/>
      <c r="L7" s="829"/>
      <c r="M7" s="829"/>
      <c r="N7" s="829"/>
      <c r="O7" s="59"/>
      <c r="P7" s="59"/>
      <c r="Q7" s="59"/>
      <c r="R7" s="59"/>
    </row>
    <row r="8" spans="2:18" ht="12.75">
      <c r="B8" s="830"/>
      <c r="C8" s="831"/>
      <c r="D8" s="830"/>
      <c r="E8" s="831"/>
      <c r="F8" s="45" t="s">
        <v>3</v>
      </c>
      <c r="G8" s="50">
        <v>4.9</v>
      </c>
      <c r="H8" s="50">
        <v>4.3</v>
      </c>
      <c r="I8" s="52">
        <v>3.8</v>
      </c>
      <c r="K8" s="829"/>
      <c r="L8" s="829"/>
      <c r="M8" s="829"/>
      <c r="N8" s="829"/>
      <c r="O8" s="59"/>
      <c r="P8" s="59"/>
      <c r="Q8" s="59"/>
      <c r="R8" s="59"/>
    </row>
    <row r="9" spans="2:18" ht="12.75">
      <c r="B9" s="830"/>
      <c r="C9" s="831"/>
      <c r="D9" s="830"/>
      <c r="E9" s="831"/>
      <c r="F9" s="45" t="s">
        <v>4</v>
      </c>
      <c r="G9" s="50">
        <v>4223</v>
      </c>
      <c r="H9" s="50">
        <v>4431</v>
      </c>
      <c r="I9" s="52">
        <v>4673</v>
      </c>
      <c r="K9" s="829"/>
      <c r="L9" s="829"/>
      <c r="M9" s="829"/>
      <c r="N9" s="829"/>
      <c r="O9" s="59"/>
      <c r="P9" s="59"/>
      <c r="Q9" s="59"/>
      <c r="R9" s="59"/>
    </row>
    <row r="10" spans="2:18" ht="12.75">
      <c r="B10" s="830"/>
      <c r="C10" s="831"/>
      <c r="D10" s="830"/>
      <c r="E10" s="831"/>
      <c r="F10" s="45" t="s">
        <v>41</v>
      </c>
      <c r="G10" s="50">
        <v>4379</v>
      </c>
      <c r="H10" s="50">
        <v>4659</v>
      </c>
      <c r="I10" s="52">
        <v>5174</v>
      </c>
      <c r="K10" s="829"/>
      <c r="L10" s="829"/>
      <c r="M10" s="829"/>
      <c r="N10" s="829"/>
      <c r="O10" s="59"/>
      <c r="P10" s="59"/>
      <c r="Q10" s="59"/>
      <c r="R10" s="59"/>
    </row>
    <row r="11" spans="2:18" ht="12.75">
      <c r="B11" s="830"/>
      <c r="C11" s="831"/>
      <c r="D11" s="830"/>
      <c r="E11" s="831"/>
      <c r="F11" s="45" t="s">
        <v>5</v>
      </c>
      <c r="G11" s="50">
        <v>101</v>
      </c>
      <c r="H11" s="50">
        <v>102</v>
      </c>
      <c r="I11" s="52">
        <v>103</v>
      </c>
      <c r="K11" s="829"/>
      <c r="L11" s="829"/>
      <c r="M11" s="829"/>
      <c r="N11" s="829"/>
      <c r="O11" s="59"/>
      <c r="P11" s="59"/>
      <c r="Q11" s="59"/>
      <c r="R11" s="59"/>
    </row>
    <row r="12" spans="2:18" ht="12.75">
      <c r="B12" s="830"/>
      <c r="C12" s="831"/>
      <c r="D12" s="830"/>
      <c r="E12" s="834"/>
      <c r="F12" s="45" t="s">
        <v>10</v>
      </c>
      <c r="G12" s="50">
        <v>140</v>
      </c>
      <c r="H12" s="50">
        <v>140</v>
      </c>
      <c r="I12" s="52">
        <v>139</v>
      </c>
      <c r="K12" s="829"/>
      <c r="L12" s="829"/>
      <c r="M12" s="829"/>
      <c r="N12" s="829"/>
      <c r="O12" s="59"/>
      <c r="P12" s="59"/>
      <c r="Q12" s="59"/>
      <c r="R12" s="59"/>
    </row>
    <row r="13" spans="2:18" ht="13.5" thickBot="1">
      <c r="B13" s="832" t="s">
        <v>54</v>
      </c>
      <c r="C13" s="833"/>
      <c r="D13" s="830" t="s">
        <v>54</v>
      </c>
      <c r="E13" s="834"/>
      <c r="F13" s="45" t="s">
        <v>6</v>
      </c>
      <c r="G13" s="50">
        <v>135</v>
      </c>
      <c r="H13" s="50">
        <v>134</v>
      </c>
      <c r="I13" s="52">
        <v>134</v>
      </c>
      <c r="K13" s="829"/>
      <c r="L13" s="829"/>
      <c r="M13" s="829"/>
      <c r="N13" s="829"/>
      <c r="O13" s="59"/>
      <c r="P13" s="59"/>
      <c r="Q13" s="59"/>
      <c r="R13" s="59"/>
    </row>
    <row r="14" spans="2:18" ht="12.75">
      <c r="B14" s="55" t="s">
        <v>17</v>
      </c>
      <c r="C14" s="56"/>
      <c r="D14" s="55" t="s">
        <v>18</v>
      </c>
      <c r="E14" s="57"/>
      <c r="F14" s="45" t="s">
        <v>7</v>
      </c>
      <c r="G14" s="50">
        <v>115</v>
      </c>
      <c r="H14" s="50">
        <v>115</v>
      </c>
      <c r="I14" s="52">
        <v>116</v>
      </c>
      <c r="K14" s="66"/>
      <c r="L14" s="61"/>
      <c r="M14" s="66"/>
      <c r="N14" s="61"/>
      <c r="O14" s="59"/>
      <c r="P14" s="59"/>
      <c r="Q14" s="59"/>
      <c r="R14" s="59"/>
    </row>
    <row r="15" spans="2:18" ht="12.75">
      <c r="B15" s="830"/>
      <c r="C15" s="831"/>
      <c r="D15" s="830"/>
      <c r="E15" s="834"/>
      <c r="F15" s="45" t="s">
        <v>8</v>
      </c>
      <c r="G15" s="50">
        <v>123</v>
      </c>
      <c r="H15" s="50">
        <v>123</v>
      </c>
      <c r="I15" s="52">
        <v>123</v>
      </c>
      <c r="K15" s="822"/>
      <c r="L15" s="822"/>
      <c r="M15" s="822"/>
      <c r="N15" s="822"/>
      <c r="O15" s="59"/>
      <c r="P15" s="59"/>
      <c r="Q15" s="59"/>
      <c r="R15" s="59"/>
    </row>
    <row r="16" spans="2:18" ht="12.75">
      <c r="B16" s="830"/>
      <c r="C16" s="831"/>
      <c r="D16" s="830"/>
      <c r="E16" s="834"/>
      <c r="F16" s="45" t="s">
        <v>9</v>
      </c>
      <c r="G16" s="50">
        <v>115</v>
      </c>
      <c r="H16" s="50">
        <v>115</v>
      </c>
      <c r="I16" s="52">
        <v>116</v>
      </c>
      <c r="K16" s="822"/>
      <c r="L16" s="822"/>
      <c r="M16" s="822"/>
      <c r="N16" s="822"/>
      <c r="O16" s="59"/>
      <c r="P16" s="59"/>
      <c r="Q16" s="59"/>
      <c r="R16" s="59"/>
    </row>
    <row r="17" spans="2:18" ht="13.5" thickBot="1">
      <c r="B17" s="830"/>
      <c r="C17" s="831"/>
      <c r="D17" s="830"/>
      <c r="E17" s="834"/>
      <c r="F17" s="48" t="s">
        <v>40</v>
      </c>
      <c r="G17" s="53"/>
      <c r="H17" s="53"/>
      <c r="I17" s="54"/>
      <c r="K17" s="822"/>
      <c r="L17" s="822"/>
      <c r="M17" s="822"/>
      <c r="N17" s="822"/>
      <c r="O17" s="59"/>
      <c r="P17" s="59"/>
      <c r="Q17" s="59"/>
      <c r="R17" s="59"/>
    </row>
    <row r="18" spans="2:18" ht="12.75">
      <c r="B18" s="830"/>
      <c r="C18" s="831"/>
      <c r="D18" s="830"/>
      <c r="E18" s="834"/>
      <c r="F18" s="826" t="s">
        <v>50</v>
      </c>
      <c r="G18" s="827"/>
      <c r="H18" s="827"/>
      <c r="I18" s="828"/>
      <c r="K18" s="822"/>
      <c r="L18" s="822"/>
      <c r="M18" s="822"/>
      <c r="N18" s="822"/>
      <c r="O18" s="820"/>
      <c r="P18" s="820"/>
      <c r="Q18" s="820"/>
      <c r="R18" s="820"/>
    </row>
    <row r="19" spans="2:18" ht="12.75">
      <c r="B19" s="830"/>
      <c r="C19" s="831"/>
      <c r="D19" s="830"/>
      <c r="E19" s="834"/>
      <c r="F19" s="40">
        <v>30</v>
      </c>
      <c r="G19" s="816"/>
      <c r="H19" s="817"/>
      <c r="I19" s="818"/>
      <c r="K19" s="822"/>
      <c r="L19" s="822"/>
      <c r="M19" s="822"/>
      <c r="N19" s="822"/>
      <c r="O19" s="59"/>
      <c r="P19" s="820"/>
      <c r="Q19" s="820"/>
      <c r="R19" s="820"/>
    </row>
    <row r="20" spans="2:18" ht="12.75">
      <c r="B20" s="830"/>
      <c r="C20" s="831"/>
      <c r="D20" s="830"/>
      <c r="E20" s="834"/>
      <c r="F20" s="40">
        <v>10</v>
      </c>
      <c r="G20" s="816"/>
      <c r="H20" s="817"/>
      <c r="I20" s="818"/>
      <c r="K20" s="822"/>
      <c r="L20" s="822"/>
      <c r="M20" s="822"/>
      <c r="N20" s="822"/>
      <c r="O20" s="59"/>
      <c r="P20" s="820"/>
      <c r="Q20" s="820"/>
      <c r="R20" s="820"/>
    </row>
    <row r="21" spans="2:18" ht="13.5" thickBot="1">
      <c r="B21" s="832"/>
      <c r="C21" s="833"/>
      <c r="D21" s="832"/>
      <c r="E21" s="844"/>
      <c r="F21" s="41">
        <v>0</v>
      </c>
      <c r="G21" s="823"/>
      <c r="H21" s="824"/>
      <c r="I21" s="825"/>
      <c r="K21" s="822"/>
      <c r="L21" s="822"/>
      <c r="M21" s="822"/>
      <c r="N21" s="822"/>
      <c r="O21" s="59"/>
      <c r="P21" s="820"/>
      <c r="Q21" s="820"/>
      <c r="R21" s="820"/>
    </row>
    <row r="22" spans="2:18" ht="12.75">
      <c r="B22" s="21" t="s">
        <v>20</v>
      </c>
      <c r="C22" s="2"/>
      <c r="D22" s="2"/>
      <c r="E22" s="2"/>
      <c r="F22" s="2"/>
      <c r="G22" s="2"/>
      <c r="H22" s="7"/>
      <c r="I22" s="24" t="s">
        <v>37</v>
      </c>
      <c r="K22" s="68"/>
      <c r="L22" s="61"/>
      <c r="M22" s="61"/>
      <c r="N22" s="61"/>
      <c r="O22" s="61"/>
      <c r="P22" s="61"/>
      <c r="Q22" s="61"/>
      <c r="R22" s="69"/>
    </row>
    <row r="23" spans="2:18" ht="13.5" thickBot="1">
      <c r="B23" s="13"/>
      <c r="C23" s="8"/>
      <c r="D23" s="8"/>
      <c r="E23" s="8"/>
      <c r="F23" s="8"/>
      <c r="G23" s="8"/>
      <c r="H23" s="7"/>
      <c r="I23" s="5"/>
      <c r="K23" s="70"/>
      <c r="L23" s="61"/>
      <c r="M23" s="61"/>
      <c r="N23" s="61"/>
      <c r="O23" s="61"/>
      <c r="P23" s="61"/>
      <c r="Q23" s="61"/>
      <c r="R23" s="61"/>
    </row>
    <row r="24" spans="2:18" ht="12.75">
      <c r="B24" s="9" t="s">
        <v>13</v>
      </c>
      <c r="C24" s="7"/>
      <c r="D24" s="7"/>
      <c r="E24" s="7"/>
      <c r="F24" s="7"/>
      <c r="G24" s="7"/>
      <c r="H24" s="839" t="s">
        <v>34</v>
      </c>
      <c r="I24" s="840"/>
      <c r="K24" s="67"/>
      <c r="L24" s="61"/>
      <c r="M24" s="61"/>
      <c r="N24" s="61"/>
      <c r="O24" s="61"/>
      <c r="P24" s="61"/>
      <c r="Q24" s="61"/>
      <c r="R24" s="69"/>
    </row>
    <row r="25" spans="2:18" ht="13.5" thickBot="1">
      <c r="B25" s="17" t="s">
        <v>21</v>
      </c>
      <c r="C25" s="812" t="s">
        <v>46</v>
      </c>
      <c r="D25" s="812"/>
      <c r="E25" s="812"/>
      <c r="F25" s="812"/>
      <c r="G25" s="812"/>
      <c r="H25" s="812"/>
      <c r="I25" s="813"/>
      <c r="K25" s="68"/>
      <c r="L25" s="821"/>
      <c r="M25" s="821"/>
      <c r="N25" s="821"/>
      <c r="O25" s="821"/>
      <c r="P25" s="821"/>
      <c r="Q25" s="821"/>
      <c r="R25" s="821"/>
    </row>
    <row r="26" spans="2:18" ht="12.75">
      <c r="B26" s="14" t="s">
        <v>28</v>
      </c>
      <c r="C26" s="2"/>
      <c r="D26" s="2"/>
      <c r="E26" s="2"/>
      <c r="F26" s="2"/>
      <c r="G26" s="2"/>
      <c r="H26" s="2"/>
      <c r="I26" s="3"/>
      <c r="K26" s="66"/>
      <c r="L26" s="61"/>
      <c r="M26" s="61"/>
      <c r="N26" s="61"/>
      <c r="O26" s="61"/>
      <c r="P26" s="61"/>
      <c r="Q26" s="61"/>
      <c r="R26" s="61"/>
    </row>
    <row r="27" spans="2:18" ht="12.75">
      <c r="B27" s="9" t="s">
        <v>31</v>
      </c>
      <c r="C27" s="7"/>
      <c r="D27" s="7"/>
      <c r="E27" s="7"/>
      <c r="F27" s="7"/>
      <c r="G27" s="7"/>
      <c r="H27" s="7"/>
      <c r="I27" s="5"/>
      <c r="K27" s="67"/>
      <c r="L27" s="61"/>
      <c r="M27" s="61"/>
      <c r="N27" s="61"/>
      <c r="O27" s="61"/>
      <c r="P27" s="61"/>
      <c r="Q27" s="61"/>
      <c r="R27" s="61"/>
    </row>
    <row r="28" spans="2:18" ht="12.75">
      <c r="B28" s="4"/>
      <c r="C28" s="7"/>
      <c r="D28" s="7"/>
      <c r="E28" s="7"/>
      <c r="F28" s="7"/>
      <c r="G28" s="7"/>
      <c r="H28" s="7"/>
      <c r="I28" s="5"/>
      <c r="K28" s="61"/>
      <c r="L28" s="61"/>
      <c r="M28" s="61"/>
      <c r="N28" s="61"/>
      <c r="O28" s="61"/>
      <c r="P28" s="61"/>
      <c r="Q28" s="61"/>
      <c r="R28" s="61"/>
    </row>
    <row r="29" spans="2:18" ht="12.75">
      <c r="B29" s="9" t="s">
        <v>32</v>
      </c>
      <c r="C29" s="11"/>
      <c r="D29" s="7"/>
      <c r="E29" s="7"/>
      <c r="F29" s="7"/>
      <c r="G29" s="7"/>
      <c r="H29" s="7"/>
      <c r="I29" s="5"/>
      <c r="K29" s="822"/>
      <c r="L29" s="822"/>
      <c r="M29" s="61"/>
      <c r="N29" s="61"/>
      <c r="O29" s="61"/>
      <c r="P29" s="61"/>
      <c r="Q29" s="61"/>
      <c r="R29" s="61"/>
    </row>
    <row r="30" spans="2:18" ht="12.75">
      <c r="B30" s="4"/>
      <c r="C30" s="7"/>
      <c r="D30" s="7"/>
      <c r="E30" s="7"/>
      <c r="F30" s="7"/>
      <c r="G30" s="7"/>
      <c r="H30" s="7"/>
      <c r="I30" s="5"/>
      <c r="K30" s="61"/>
      <c r="L30" s="61"/>
      <c r="M30" s="61"/>
      <c r="N30" s="61"/>
      <c r="O30" s="61"/>
      <c r="P30" s="61"/>
      <c r="Q30" s="61"/>
      <c r="R30" s="61"/>
    </row>
    <row r="31" spans="2:18" ht="12.75">
      <c r="B31" s="4"/>
      <c r="C31" s="7"/>
      <c r="D31" s="7"/>
      <c r="E31" s="7"/>
      <c r="F31" s="7"/>
      <c r="G31" s="7"/>
      <c r="H31" s="7"/>
      <c r="I31" s="5"/>
      <c r="K31" s="61"/>
      <c r="L31" s="61"/>
      <c r="M31" s="61"/>
      <c r="N31" s="61"/>
      <c r="O31" s="61"/>
      <c r="P31" s="61"/>
      <c r="Q31" s="61"/>
      <c r="R31" s="61"/>
    </row>
    <row r="32" spans="2:18" ht="12.75">
      <c r="B32" s="4"/>
      <c r="C32" s="7"/>
      <c r="D32" s="7"/>
      <c r="E32" s="7"/>
      <c r="F32" s="7"/>
      <c r="G32" s="7"/>
      <c r="H32" s="7"/>
      <c r="I32" s="5"/>
      <c r="K32" s="61"/>
      <c r="L32" s="61"/>
      <c r="M32" s="61"/>
      <c r="N32" s="61"/>
      <c r="O32" s="61"/>
      <c r="P32" s="61"/>
      <c r="Q32" s="61"/>
      <c r="R32" s="61"/>
    </row>
    <row r="33" spans="2:18" ht="12.75" customHeight="1">
      <c r="B33" s="4"/>
      <c r="C33" s="7"/>
      <c r="D33" s="7"/>
      <c r="E33" s="7"/>
      <c r="F33" s="7"/>
      <c r="G33" s="7"/>
      <c r="H33" s="7"/>
      <c r="I33" s="5"/>
      <c r="K33" s="61"/>
      <c r="L33" s="61"/>
      <c r="M33" s="61"/>
      <c r="N33" s="61"/>
      <c r="O33" s="61"/>
      <c r="P33" s="61"/>
      <c r="Q33" s="61"/>
      <c r="R33" s="61"/>
    </row>
    <row r="34" spans="2:18" ht="12.75">
      <c r="B34" s="4"/>
      <c r="C34" s="7"/>
      <c r="D34" s="7"/>
      <c r="E34" s="7"/>
      <c r="F34" s="7"/>
      <c r="G34" s="7"/>
      <c r="H34" s="7"/>
      <c r="I34" s="5"/>
      <c r="K34" s="61"/>
      <c r="L34" s="61"/>
      <c r="M34" s="61"/>
      <c r="N34" s="61"/>
      <c r="O34" s="61"/>
      <c r="P34" s="61"/>
      <c r="Q34" s="61"/>
      <c r="R34" s="61"/>
    </row>
    <row r="35" spans="2:18" ht="12.75">
      <c r="B35" s="4"/>
      <c r="C35" s="7"/>
      <c r="D35" s="7"/>
      <c r="I35" s="5"/>
      <c r="K35" s="61"/>
      <c r="L35" s="61"/>
      <c r="M35" s="61"/>
      <c r="N35" s="61"/>
      <c r="O35" s="61"/>
      <c r="P35" s="814"/>
      <c r="Q35" s="814"/>
      <c r="R35" s="814"/>
    </row>
    <row r="36" spans="2:18" ht="12.75">
      <c r="B36" s="4"/>
      <c r="C36" s="7"/>
      <c r="D36" s="7"/>
      <c r="G36" s="61"/>
      <c r="H36" s="59"/>
      <c r="I36" s="73"/>
      <c r="K36" s="61"/>
      <c r="L36" s="61"/>
      <c r="M36" s="61"/>
      <c r="N36" s="61"/>
      <c r="O36" s="61"/>
      <c r="P36" s="61"/>
      <c r="Q36" s="59"/>
      <c r="R36" s="59"/>
    </row>
    <row r="37" spans="2:18" ht="12.75">
      <c r="B37" s="33" t="s">
        <v>47</v>
      </c>
      <c r="C37" s="7"/>
      <c r="D37" s="7"/>
      <c r="G37" s="59"/>
      <c r="H37" s="59"/>
      <c r="I37" s="73"/>
      <c r="K37" s="71"/>
      <c r="L37" s="61"/>
      <c r="M37" s="61"/>
      <c r="N37" s="61"/>
      <c r="O37" s="61"/>
      <c r="P37" s="59"/>
      <c r="Q37" s="59"/>
      <c r="R37" s="59"/>
    </row>
    <row r="38" spans="2:18" ht="12.75">
      <c r="B38" s="835" t="s">
        <v>51</v>
      </c>
      <c r="C38" s="836"/>
      <c r="D38" s="836"/>
      <c r="G38" s="59"/>
      <c r="H38" s="59"/>
      <c r="I38" s="73"/>
      <c r="K38" s="821"/>
      <c r="L38" s="821"/>
      <c r="M38" s="821"/>
      <c r="N38" s="61"/>
      <c r="O38" s="61"/>
      <c r="P38" s="59"/>
      <c r="Q38" s="59"/>
      <c r="R38" s="59"/>
    </row>
    <row r="39" spans="2:18" ht="12.75">
      <c r="B39" s="835" t="s">
        <v>52</v>
      </c>
      <c r="C39" s="836"/>
      <c r="D39" s="836"/>
      <c r="G39" s="59"/>
      <c r="H39" s="59"/>
      <c r="I39" s="73"/>
      <c r="K39" s="821"/>
      <c r="L39" s="821"/>
      <c r="M39" s="821"/>
      <c r="N39" s="61"/>
      <c r="O39" s="61"/>
      <c r="P39" s="59"/>
      <c r="Q39" s="59"/>
      <c r="R39" s="59"/>
    </row>
    <row r="40" spans="2:18" ht="13.5" thickBot="1">
      <c r="B40" s="835" t="s">
        <v>53</v>
      </c>
      <c r="C40" s="836"/>
      <c r="D40" s="836"/>
      <c r="G40" s="814" t="s">
        <v>49</v>
      </c>
      <c r="H40" s="814"/>
      <c r="I40" s="815"/>
      <c r="K40" s="821"/>
      <c r="L40" s="821"/>
      <c r="M40" s="821"/>
      <c r="N40" s="61"/>
      <c r="O40" s="61"/>
      <c r="P40" s="59"/>
      <c r="Q40" s="59"/>
      <c r="R40" s="59"/>
    </row>
    <row r="41" spans="2:18" ht="13.5" thickBot="1">
      <c r="B41" s="835"/>
      <c r="C41" s="836"/>
      <c r="D41" s="836"/>
      <c r="G41" s="76"/>
      <c r="H41" s="74" t="s">
        <v>33</v>
      </c>
      <c r="I41" s="75" t="s">
        <v>48</v>
      </c>
      <c r="K41" s="822"/>
      <c r="L41" s="822"/>
      <c r="M41" s="822"/>
      <c r="N41" s="61"/>
      <c r="O41" s="61"/>
      <c r="P41" s="59"/>
      <c r="Q41" s="59"/>
      <c r="R41" s="59"/>
    </row>
    <row r="42" spans="2:18" ht="12.75">
      <c r="B42" s="43" t="s">
        <v>29</v>
      </c>
      <c r="C42" s="42" t="s">
        <v>36</v>
      </c>
      <c r="D42" s="7"/>
      <c r="G42" s="72" t="s">
        <v>34</v>
      </c>
      <c r="H42" s="28">
        <v>1293</v>
      </c>
      <c r="I42" s="26">
        <v>3.3</v>
      </c>
      <c r="K42" s="61"/>
      <c r="L42" s="61"/>
      <c r="M42" s="61"/>
      <c r="N42" s="61"/>
      <c r="O42" s="61"/>
      <c r="P42" s="59"/>
      <c r="Q42" s="59"/>
      <c r="R42" s="59"/>
    </row>
    <row r="43" spans="2:18" ht="13.5" thickBot="1">
      <c r="B43" s="15"/>
      <c r="C43" s="16"/>
      <c r="D43" s="25"/>
      <c r="E43" s="8"/>
      <c r="F43" s="6"/>
      <c r="G43" s="32"/>
      <c r="H43" s="29"/>
      <c r="I43" s="30"/>
      <c r="K43" s="61"/>
      <c r="L43" s="61"/>
      <c r="M43" s="59"/>
      <c r="N43" s="61"/>
      <c r="O43" s="61"/>
      <c r="P43" s="59"/>
      <c r="Q43" s="59"/>
      <c r="R43" s="59"/>
    </row>
    <row r="44" spans="2:9" ht="12.75">
      <c r="B44" s="10"/>
      <c r="C44" s="19"/>
      <c r="D44" s="19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54" ht="12.75">
      <c r="L54" s="7"/>
    </row>
  </sheetData>
  <mergeCells count="83">
    <mergeCell ref="K1:R1"/>
    <mergeCell ref="B1:I1"/>
    <mergeCell ref="H24:I24"/>
    <mergeCell ref="G4:I4"/>
    <mergeCell ref="D19:E19"/>
    <mergeCell ref="D20:E20"/>
    <mergeCell ref="D21:E21"/>
    <mergeCell ref="B18:C18"/>
    <mergeCell ref="B19:C19"/>
    <mergeCell ref="B20:C20"/>
    <mergeCell ref="K38:M38"/>
    <mergeCell ref="K39:M39"/>
    <mergeCell ref="K40:M40"/>
    <mergeCell ref="K41:M41"/>
    <mergeCell ref="B38:D38"/>
    <mergeCell ref="B39:D39"/>
    <mergeCell ref="B40:D40"/>
    <mergeCell ref="B41:D41"/>
    <mergeCell ref="B21:C21"/>
    <mergeCell ref="D17:E17"/>
    <mergeCell ref="B16:C16"/>
    <mergeCell ref="B17:C17"/>
    <mergeCell ref="D18:E18"/>
    <mergeCell ref="K16:L16"/>
    <mergeCell ref="B15:C15"/>
    <mergeCell ref="D15:E15"/>
    <mergeCell ref="D16:E16"/>
    <mergeCell ref="M16:N16"/>
    <mergeCell ref="M17:N17"/>
    <mergeCell ref="M18:N18"/>
    <mergeCell ref="M19:N19"/>
    <mergeCell ref="M11:N11"/>
    <mergeCell ref="M12:N12"/>
    <mergeCell ref="M13:N13"/>
    <mergeCell ref="K15:L15"/>
    <mergeCell ref="M15:N15"/>
    <mergeCell ref="D8:E8"/>
    <mergeCell ref="M8:N8"/>
    <mergeCell ref="M7:N7"/>
    <mergeCell ref="M9:N9"/>
    <mergeCell ref="K7:L7"/>
    <mergeCell ref="K8:L8"/>
    <mergeCell ref="K9:L9"/>
    <mergeCell ref="D7:E7"/>
    <mergeCell ref="D9:E9"/>
    <mergeCell ref="K10:L10"/>
    <mergeCell ref="D10:E10"/>
    <mergeCell ref="D11:E11"/>
    <mergeCell ref="D13:E13"/>
    <mergeCell ref="D12:E12"/>
    <mergeCell ref="K11:L11"/>
    <mergeCell ref="K12:L12"/>
    <mergeCell ref="K13:L13"/>
    <mergeCell ref="M10:N10"/>
    <mergeCell ref="K17:L17"/>
    <mergeCell ref="P19:R19"/>
    <mergeCell ref="B7:C7"/>
    <mergeCell ref="B8:C8"/>
    <mergeCell ref="B9:C9"/>
    <mergeCell ref="B10:C10"/>
    <mergeCell ref="B11:C11"/>
    <mergeCell ref="B12:C12"/>
    <mergeCell ref="B13:C13"/>
    <mergeCell ref="G21:I21"/>
    <mergeCell ref="F18:I18"/>
    <mergeCell ref="P20:R20"/>
    <mergeCell ref="P21:R21"/>
    <mergeCell ref="K18:L18"/>
    <mergeCell ref="K19:L19"/>
    <mergeCell ref="K20:L20"/>
    <mergeCell ref="K21:L21"/>
    <mergeCell ref="M20:N20"/>
    <mergeCell ref="M21:N21"/>
    <mergeCell ref="F2:I2"/>
    <mergeCell ref="C25:I25"/>
    <mergeCell ref="G40:I40"/>
    <mergeCell ref="P35:R35"/>
    <mergeCell ref="G19:I19"/>
    <mergeCell ref="G20:I20"/>
    <mergeCell ref="O2:R2"/>
    <mergeCell ref="O18:R18"/>
    <mergeCell ref="L25:R25"/>
    <mergeCell ref="K29:L29"/>
  </mergeCells>
  <printOptions verticalCentered="1"/>
  <pageMargins left="0.25" right="0.25" top="0.25" bottom="0.25" header="0" footer="0"/>
  <pageSetup horizontalDpi="1200" verticalDpi="1200" orientation="landscape" r:id="rId4"/>
  <colBreaks count="1" manualBreakCount="1">
    <brk id="18" max="44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">
      <selection activeCell="B3" sqref="B3:B13"/>
    </sheetView>
  </sheetViews>
  <sheetFormatPr defaultColWidth="9.140625" defaultRowHeight="12.75"/>
  <cols>
    <col min="1" max="1" width="21.421875" style="0" customWidth="1"/>
    <col min="8" max="8" width="8.57421875" style="0" customWidth="1"/>
  </cols>
  <sheetData>
    <row r="1" spans="1:14" ht="15.75">
      <c r="A1" s="846" t="s">
        <v>57</v>
      </c>
      <c r="B1" s="846"/>
      <c r="C1" s="846"/>
      <c r="D1" s="846"/>
      <c r="E1" s="846"/>
      <c r="F1" s="846"/>
      <c r="G1" s="846"/>
      <c r="I1" s="846" t="s">
        <v>183</v>
      </c>
      <c r="J1" s="846"/>
      <c r="K1" s="846"/>
      <c r="L1" s="846"/>
      <c r="M1" s="846"/>
      <c r="N1" s="846"/>
    </row>
    <row r="2" spans="1:14" ht="12.75">
      <c r="A2" s="80"/>
      <c r="B2" s="80">
        <v>0</v>
      </c>
      <c r="C2" s="80">
        <v>5</v>
      </c>
      <c r="D2" s="80">
        <v>10</v>
      </c>
      <c r="E2" s="80">
        <v>15</v>
      </c>
      <c r="F2" s="80">
        <v>20</v>
      </c>
      <c r="G2" s="80">
        <v>25</v>
      </c>
      <c r="I2" s="392">
        <v>0</v>
      </c>
      <c r="J2" s="392">
        <v>5</v>
      </c>
      <c r="K2" s="392">
        <v>10</v>
      </c>
      <c r="L2" s="392">
        <v>15</v>
      </c>
      <c r="M2" s="392">
        <v>20</v>
      </c>
      <c r="N2" s="392">
        <v>25</v>
      </c>
    </row>
    <row r="3" spans="1:14" ht="12.75">
      <c r="A3" s="50" t="s">
        <v>1</v>
      </c>
      <c r="B3" s="50">
        <v>96.3</v>
      </c>
      <c r="C3" s="50">
        <v>97.3</v>
      </c>
      <c r="D3" s="50">
        <v>98.3</v>
      </c>
      <c r="E3" s="50">
        <v>98.4</v>
      </c>
      <c r="F3" s="50">
        <v>98.5</v>
      </c>
      <c r="G3" s="50">
        <v>98</v>
      </c>
      <c r="I3" s="49">
        <v>95.7</v>
      </c>
      <c r="J3" s="49">
        <v>96.5</v>
      </c>
      <c r="K3" s="49">
        <v>97.7</v>
      </c>
      <c r="L3" s="49">
        <v>98.1</v>
      </c>
      <c r="M3" s="49">
        <v>98.5</v>
      </c>
      <c r="N3" s="49">
        <v>98</v>
      </c>
    </row>
    <row r="4" spans="1:14" ht="12.75">
      <c r="A4" s="50" t="s">
        <v>2</v>
      </c>
      <c r="B4" s="50">
        <v>95.3</v>
      </c>
      <c r="C4" s="50">
        <v>96.2</v>
      </c>
      <c r="D4" s="50">
        <v>96.7</v>
      </c>
      <c r="E4" s="50">
        <v>96.7</v>
      </c>
      <c r="F4" s="50">
        <v>95.5</v>
      </c>
      <c r="G4" s="50">
        <v>94.9</v>
      </c>
      <c r="I4" s="49">
        <v>94.7</v>
      </c>
      <c r="J4" s="49">
        <v>95.6</v>
      </c>
      <c r="K4" s="49">
        <v>96.7</v>
      </c>
      <c r="L4" s="49">
        <v>96.1</v>
      </c>
      <c r="M4" s="49">
        <v>95.5</v>
      </c>
      <c r="N4" s="49">
        <v>95</v>
      </c>
    </row>
    <row r="5" spans="1:14" ht="12.75">
      <c r="A5" s="50" t="s">
        <v>3</v>
      </c>
      <c r="B5" s="50">
        <v>5.2</v>
      </c>
      <c r="C5" s="50">
        <v>5.2</v>
      </c>
      <c r="D5" s="50">
        <v>5.2</v>
      </c>
      <c r="E5" s="50">
        <v>4.9</v>
      </c>
      <c r="F5" s="50">
        <v>4.3</v>
      </c>
      <c r="G5" s="50">
        <v>3.8</v>
      </c>
      <c r="I5" s="49">
        <v>5.2</v>
      </c>
      <c r="J5" s="49">
        <v>5.2</v>
      </c>
      <c r="K5" s="49">
        <v>5.2</v>
      </c>
      <c r="L5" s="49">
        <v>5.2</v>
      </c>
      <c r="M5" s="49">
        <v>4.5</v>
      </c>
      <c r="N5" s="49">
        <v>4.1</v>
      </c>
    </row>
    <row r="6" spans="1:14" ht="12.75">
      <c r="A6" s="50" t="s">
        <v>4</v>
      </c>
      <c r="B6" s="50">
        <v>3891</v>
      </c>
      <c r="C6" s="50">
        <v>3953</v>
      </c>
      <c r="D6" s="50">
        <v>4015</v>
      </c>
      <c r="E6" s="50">
        <v>4223</v>
      </c>
      <c r="F6" s="50">
        <v>4431</v>
      </c>
      <c r="G6" s="50">
        <v>4673</v>
      </c>
      <c r="I6" s="49">
        <v>3838</v>
      </c>
      <c r="J6" s="49">
        <v>3892</v>
      </c>
      <c r="K6" s="49">
        <v>3947</v>
      </c>
      <c r="L6" s="49">
        <v>4114</v>
      </c>
      <c r="M6" s="49">
        <v>4282</v>
      </c>
      <c r="N6" s="49">
        <v>4519</v>
      </c>
    </row>
    <row r="7" spans="1:14" ht="12.75">
      <c r="A7" s="50" t="s">
        <v>41</v>
      </c>
      <c r="B7" s="50">
        <f>2681+1316</f>
        <v>3997</v>
      </c>
      <c r="C7" s="50">
        <f>2727+1321</f>
        <v>4048</v>
      </c>
      <c r="D7" s="50">
        <f>2773+1325</f>
        <v>4098</v>
      </c>
      <c r="E7" s="50">
        <v>4379</v>
      </c>
      <c r="F7" s="50">
        <v>4659</v>
      </c>
      <c r="G7" s="50">
        <v>5174</v>
      </c>
      <c r="I7" s="391">
        <f>2642+1320</f>
        <v>3962</v>
      </c>
      <c r="J7" s="391">
        <f>2682+1318</f>
        <v>4000</v>
      </c>
      <c r="K7" s="391">
        <f>2722+1316</f>
        <v>4038</v>
      </c>
      <c r="L7" s="391">
        <f>2848+1413</f>
        <v>4261</v>
      </c>
      <c r="M7" s="391">
        <f>2974+1510</f>
        <v>4484</v>
      </c>
      <c r="N7" s="391">
        <f>2942+1507</f>
        <v>4449</v>
      </c>
    </row>
    <row r="8" spans="1:14" ht="12.75">
      <c r="A8" s="50" t="s">
        <v>5</v>
      </c>
      <c r="B8" s="50">
        <v>99</v>
      </c>
      <c r="C8" s="50">
        <v>99</v>
      </c>
      <c r="D8" s="50">
        <v>99</v>
      </c>
      <c r="E8" s="50">
        <v>101</v>
      </c>
      <c r="F8" s="50">
        <v>102</v>
      </c>
      <c r="G8" s="50">
        <v>103</v>
      </c>
      <c r="I8" s="49">
        <v>99</v>
      </c>
      <c r="J8" s="49">
        <v>99</v>
      </c>
      <c r="K8" s="49">
        <v>99</v>
      </c>
      <c r="L8" s="49">
        <v>100</v>
      </c>
      <c r="M8" s="49">
        <v>101</v>
      </c>
      <c r="N8" s="49">
        <v>102</v>
      </c>
    </row>
    <row r="9" spans="1:14" ht="12.75">
      <c r="A9" s="50" t="s">
        <v>10</v>
      </c>
      <c r="B9" s="50">
        <v>148</v>
      </c>
      <c r="C9" s="50">
        <v>146</v>
      </c>
      <c r="D9" s="50">
        <v>142</v>
      </c>
      <c r="E9" s="50">
        <v>140</v>
      </c>
      <c r="F9" s="50">
        <v>140</v>
      </c>
      <c r="G9" s="50">
        <v>139</v>
      </c>
      <c r="I9" s="49">
        <v>151</v>
      </c>
      <c r="J9" s="49">
        <v>149</v>
      </c>
      <c r="K9" s="49">
        <v>145</v>
      </c>
      <c r="L9" s="49">
        <v>143</v>
      </c>
      <c r="M9" s="49">
        <v>141</v>
      </c>
      <c r="N9" s="49">
        <v>140</v>
      </c>
    </row>
    <row r="10" spans="1:14" ht="12.75">
      <c r="A10" s="50" t="s">
        <v>6</v>
      </c>
      <c r="B10" s="50">
        <v>138</v>
      </c>
      <c r="C10" s="50">
        <v>137</v>
      </c>
      <c r="D10" s="50">
        <v>136</v>
      </c>
      <c r="E10" s="50">
        <v>135</v>
      </c>
      <c r="F10" s="50">
        <v>134</v>
      </c>
      <c r="G10" s="50">
        <v>134</v>
      </c>
      <c r="I10" s="49">
        <v>139</v>
      </c>
      <c r="J10" s="49">
        <v>138</v>
      </c>
      <c r="K10" s="49">
        <v>137</v>
      </c>
      <c r="L10" s="49">
        <v>136</v>
      </c>
      <c r="M10" s="49">
        <v>135</v>
      </c>
      <c r="N10" s="49">
        <v>135</v>
      </c>
    </row>
    <row r="11" spans="1:14" ht="12.75">
      <c r="A11" s="50" t="s">
        <v>7</v>
      </c>
      <c r="B11" s="50">
        <v>115</v>
      </c>
      <c r="C11" s="50">
        <v>115</v>
      </c>
      <c r="D11" s="50">
        <v>115</v>
      </c>
      <c r="E11" s="50">
        <v>115</v>
      </c>
      <c r="F11" s="50">
        <v>115</v>
      </c>
      <c r="G11" s="50">
        <v>116</v>
      </c>
      <c r="I11" s="49">
        <v>115</v>
      </c>
      <c r="J11" s="49">
        <v>115</v>
      </c>
      <c r="K11" s="49">
        <v>115</v>
      </c>
      <c r="L11" s="49">
        <v>115</v>
      </c>
      <c r="M11" s="49">
        <v>115</v>
      </c>
      <c r="N11" s="49">
        <v>116</v>
      </c>
    </row>
    <row r="12" spans="1:14" ht="12.75">
      <c r="A12" s="50" t="s">
        <v>8</v>
      </c>
      <c r="B12" s="50">
        <v>123</v>
      </c>
      <c r="C12" s="50">
        <v>123</v>
      </c>
      <c r="D12" s="50">
        <v>123</v>
      </c>
      <c r="E12" s="50">
        <v>123</v>
      </c>
      <c r="F12" s="50">
        <v>123</v>
      </c>
      <c r="G12" s="50">
        <v>123</v>
      </c>
      <c r="I12" s="49">
        <v>123</v>
      </c>
      <c r="J12" s="49">
        <v>123</v>
      </c>
      <c r="K12" s="49">
        <v>123</v>
      </c>
      <c r="L12" s="49">
        <v>123</v>
      </c>
      <c r="M12" s="49">
        <v>123</v>
      </c>
      <c r="N12" s="49">
        <v>123</v>
      </c>
    </row>
    <row r="13" spans="1:14" ht="12.75">
      <c r="A13" s="50" t="s">
        <v>9</v>
      </c>
      <c r="B13" s="50">
        <v>115</v>
      </c>
      <c r="C13" s="50">
        <v>115</v>
      </c>
      <c r="D13" s="50">
        <v>115</v>
      </c>
      <c r="E13" s="50">
        <v>115</v>
      </c>
      <c r="F13" s="50">
        <v>115</v>
      </c>
      <c r="G13" s="50">
        <v>116</v>
      </c>
      <c r="I13" s="49">
        <v>115</v>
      </c>
      <c r="J13" s="49">
        <v>115</v>
      </c>
      <c r="K13" s="49">
        <v>115</v>
      </c>
      <c r="L13" s="49">
        <v>115</v>
      </c>
      <c r="M13" s="49">
        <v>115</v>
      </c>
      <c r="N13" s="49">
        <v>115</v>
      </c>
    </row>
    <row r="14" spans="1:14" ht="12.75">
      <c r="A14" s="49" t="s">
        <v>253</v>
      </c>
      <c r="B14" s="49">
        <v>4160</v>
      </c>
      <c r="C14" s="49">
        <v>4213</v>
      </c>
      <c r="D14" s="49">
        <v>4266</v>
      </c>
      <c r="E14" s="49">
        <v>4321</v>
      </c>
      <c r="F14" s="49">
        <v>4376</v>
      </c>
      <c r="G14" s="49">
        <v>4432</v>
      </c>
      <c r="I14" s="49">
        <v>4104</v>
      </c>
      <c r="J14" s="49">
        <v>4157</v>
      </c>
      <c r="K14" s="49">
        <v>4211</v>
      </c>
      <c r="L14" s="49">
        <v>4265</v>
      </c>
      <c r="M14" s="49">
        <v>4320</v>
      </c>
      <c r="N14" s="49">
        <v>4376</v>
      </c>
    </row>
    <row r="15" spans="1:14" ht="12.75">
      <c r="A15" s="49" t="s">
        <v>245</v>
      </c>
      <c r="B15" s="49">
        <v>5.9</v>
      </c>
      <c r="C15" s="49">
        <v>5.9</v>
      </c>
      <c r="D15" s="49">
        <v>5.9</v>
      </c>
      <c r="E15" s="49">
        <v>5.6</v>
      </c>
      <c r="F15" s="49">
        <v>5</v>
      </c>
      <c r="G15" s="49">
        <v>4.5</v>
      </c>
      <c r="I15" s="49">
        <v>5.9</v>
      </c>
      <c r="J15" s="49">
        <v>5.9</v>
      </c>
      <c r="K15" s="49">
        <v>5.9</v>
      </c>
      <c r="L15" s="49">
        <v>5.9</v>
      </c>
      <c r="M15" s="49">
        <v>5.3</v>
      </c>
      <c r="N15" s="49">
        <v>4.8</v>
      </c>
    </row>
    <row r="16" spans="1:14" ht="12.75">
      <c r="A16" s="390" t="s">
        <v>246</v>
      </c>
      <c r="B16" s="390">
        <v>3372</v>
      </c>
      <c r="C16" s="390">
        <v>3425</v>
      </c>
      <c r="D16" s="390">
        <v>3479</v>
      </c>
      <c r="E16" s="390">
        <v>3655</v>
      </c>
      <c r="F16" s="390">
        <v>3831</v>
      </c>
      <c r="G16" s="391">
        <v>4209</v>
      </c>
      <c r="I16" s="390">
        <v>3326</v>
      </c>
      <c r="J16" s="390">
        <v>3373</v>
      </c>
      <c r="K16" s="390">
        <v>3420</v>
      </c>
      <c r="L16" s="390">
        <v>3561</v>
      </c>
      <c r="M16" s="390">
        <v>3703</v>
      </c>
      <c r="N16" s="390">
        <v>4209</v>
      </c>
    </row>
    <row r="17" spans="1:14" ht="15.75">
      <c r="A17" s="391" t="s">
        <v>247</v>
      </c>
      <c r="B17" s="391">
        <f>2285+1128</f>
        <v>3413</v>
      </c>
      <c r="C17" s="391">
        <f>2325+1133</f>
        <v>3458</v>
      </c>
      <c r="D17" s="391">
        <f>2364+1137</f>
        <v>3501</v>
      </c>
      <c r="E17" s="391">
        <f>2496+1221</f>
        <v>3717</v>
      </c>
      <c r="F17" s="391">
        <f>2627+1305</f>
        <v>3932</v>
      </c>
      <c r="G17" s="391">
        <f>2804+1426</f>
        <v>4230</v>
      </c>
      <c r="H17" s="77"/>
      <c r="I17" s="391">
        <f>2252+1129</f>
        <v>3381</v>
      </c>
      <c r="J17" s="391">
        <f>2287+1129</f>
        <v>3416</v>
      </c>
      <c r="K17" s="391">
        <f>2321+1130</f>
        <v>3451</v>
      </c>
      <c r="L17" s="391">
        <f>2426+1193</f>
        <v>3619</v>
      </c>
      <c r="M17" s="391">
        <f>2531+1255</f>
        <v>3786</v>
      </c>
      <c r="N17" s="391">
        <f>2696+1368</f>
        <v>4064</v>
      </c>
    </row>
    <row r="18" spans="1:14" ht="15.75">
      <c r="A18" s="391" t="s">
        <v>248</v>
      </c>
      <c r="B18" s="391">
        <v>93</v>
      </c>
      <c r="C18" s="391">
        <v>93</v>
      </c>
      <c r="D18" s="391">
        <v>93</v>
      </c>
      <c r="E18" s="391">
        <v>94</v>
      </c>
      <c r="F18" s="391">
        <v>95</v>
      </c>
      <c r="G18" s="391">
        <v>97</v>
      </c>
      <c r="H18" s="77"/>
      <c r="I18" s="391">
        <v>93</v>
      </c>
      <c r="J18" s="391">
        <v>93</v>
      </c>
      <c r="K18" s="391">
        <v>93</v>
      </c>
      <c r="L18" s="391">
        <v>94</v>
      </c>
      <c r="M18" s="391">
        <v>95</v>
      </c>
      <c r="N18" s="391">
        <v>95</v>
      </c>
    </row>
    <row r="19" spans="1:14" ht="15.75">
      <c r="A19" s="391" t="s">
        <v>249</v>
      </c>
      <c r="B19" s="391">
        <v>141</v>
      </c>
      <c r="C19" s="391">
        <v>140</v>
      </c>
      <c r="D19" s="391">
        <v>139</v>
      </c>
      <c r="E19" s="391">
        <v>139</v>
      </c>
      <c r="F19" s="391">
        <v>138</v>
      </c>
      <c r="G19" s="391">
        <v>138</v>
      </c>
      <c r="H19" s="77"/>
      <c r="I19" s="391">
        <v>142</v>
      </c>
      <c r="J19" s="391">
        <v>141</v>
      </c>
      <c r="K19" s="391">
        <v>140</v>
      </c>
      <c r="L19" s="391">
        <v>140</v>
      </c>
      <c r="M19" s="391">
        <v>139</v>
      </c>
      <c r="N19" s="391">
        <v>139</v>
      </c>
    </row>
    <row r="20" spans="1:14" ht="15.75">
      <c r="A20" s="391" t="s">
        <v>250</v>
      </c>
      <c r="B20" s="391">
        <f>110</f>
        <v>110</v>
      </c>
      <c r="C20" s="391">
        <f>110</f>
        <v>110</v>
      </c>
      <c r="D20" s="391">
        <f>110</f>
        <v>110</v>
      </c>
      <c r="E20" s="391">
        <f>110</f>
        <v>110</v>
      </c>
      <c r="F20" s="391">
        <f>110</f>
        <v>110</v>
      </c>
      <c r="G20" s="391">
        <v>111</v>
      </c>
      <c r="H20" s="77"/>
      <c r="I20" s="391">
        <v>110</v>
      </c>
      <c r="J20" s="391">
        <v>110</v>
      </c>
      <c r="K20" s="391">
        <v>110</v>
      </c>
      <c r="L20" s="391">
        <v>110</v>
      </c>
      <c r="M20" s="391">
        <v>110</v>
      </c>
      <c r="N20" s="391">
        <v>111</v>
      </c>
    </row>
    <row r="21" spans="1:14" ht="15.75">
      <c r="A21" s="391" t="s">
        <v>251</v>
      </c>
      <c r="B21" s="391">
        <v>118</v>
      </c>
      <c r="C21" s="391">
        <v>118</v>
      </c>
      <c r="D21" s="391">
        <v>118</v>
      </c>
      <c r="E21" s="391">
        <v>118</v>
      </c>
      <c r="F21" s="391">
        <v>118</v>
      </c>
      <c r="G21" s="391">
        <v>118</v>
      </c>
      <c r="H21" s="77"/>
      <c r="I21" s="391">
        <v>118</v>
      </c>
      <c r="J21" s="391">
        <v>118</v>
      </c>
      <c r="K21" s="391">
        <v>118</v>
      </c>
      <c r="L21" s="391">
        <v>118</v>
      </c>
      <c r="M21" s="391">
        <v>118</v>
      </c>
      <c r="N21" s="391">
        <v>118</v>
      </c>
    </row>
    <row r="22" spans="1:14" ht="15.75">
      <c r="A22" s="391" t="s">
        <v>252</v>
      </c>
      <c r="B22" s="391">
        <v>110</v>
      </c>
      <c r="C22" s="391">
        <v>110</v>
      </c>
      <c r="D22" s="391">
        <v>110</v>
      </c>
      <c r="E22" s="391">
        <v>110</v>
      </c>
      <c r="F22" s="391">
        <v>110</v>
      </c>
      <c r="G22" s="391">
        <v>111</v>
      </c>
      <c r="H22" s="77"/>
      <c r="I22" s="391">
        <v>110</v>
      </c>
      <c r="J22" s="391">
        <v>110</v>
      </c>
      <c r="K22" s="391">
        <v>110</v>
      </c>
      <c r="L22" s="391">
        <v>110</v>
      </c>
      <c r="M22" s="391">
        <v>110</v>
      </c>
      <c r="N22" s="391">
        <v>110</v>
      </c>
    </row>
    <row r="23" spans="1:14" ht="12.75">
      <c r="A23" s="391" t="s">
        <v>254</v>
      </c>
      <c r="B23" s="391">
        <v>4080</v>
      </c>
      <c r="C23" s="391">
        <v>4132</v>
      </c>
      <c r="D23" s="391">
        <v>4185</v>
      </c>
      <c r="E23" s="391">
        <v>4237</v>
      </c>
      <c r="F23" s="391">
        <v>4290</v>
      </c>
      <c r="G23" s="391">
        <v>4345</v>
      </c>
      <c r="H23" s="90"/>
      <c r="I23" s="391">
        <v>4026</v>
      </c>
      <c r="J23" s="391">
        <v>4079</v>
      </c>
      <c r="K23" s="391">
        <v>4131</v>
      </c>
      <c r="L23" s="391">
        <v>4183</v>
      </c>
      <c r="M23" s="391">
        <v>4235</v>
      </c>
      <c r="N23" s="391">
        <v>4290</v>
      </c>
    </row>
    <row r="24" spans="1:13" ht="15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847" t="s">
        <v>56</v>
      </c>
      <c r="B25" s="847"/>
      <c r="C25" s="847"/>
      <c r="D25" s="847"/>
      <c r="E25" s="847"/>
      <c r="F25" s="847"/>
      <c r="G25" s="77"/>
      <c r="H25" s="847" t="s">
        <v>68</v>
      </c>
      <c r="I25" s="847"/>
      <c r="J25" s="847"/>
      <c r="K25" s="847"/>
      <c r="L25" s="847"/>
      <c r="M25" s="847"/>
    </row>
    <row r="26" spans="1:17" ht="13.5" thickBot="1">
      <c r="A26" s="80"/>
      <c r="B26" s="80">
        <v>0</v>
      </c>
      <c r="C26" s="80">
        <v>5</v>
      </c>
      <c r="D26" s="80">
        <v>10</v>
      </c>
      <c r="E26" s="80">
        <v>15</v>
      </c>
      <c r="F26" s="80">
        <v>20</v>
      </c>
      <c r="G26" s="78"/>
      <c r="H26" s="80"/>
      <c r="I26" s="80">
        <v>0</v>
      </c>
      <c r="J26" s="80">
        <v>5</v>
      </c>
      <c r="K26" s="80">
        <v>10</v>
      </c>
      <c r="L26" s="80">
        <v>15</v>
      </c>
      <c r="M26" s="80">
        <v>20</v>
      </c>
      <c r="O26" s="845" t="s">
        <v>49</v>
      </c>
      <c r="P26" s="845"/>
      <c r="Q26" s="845"/>
    </row>
    <row r="27" spans="1:17" ht="13.5" thickBot="1">
      <c r="A27" s="50" t="s">
        <v>1</v>
      </c>
      <c r="B27" s="79">
        <v>96.3</v>
      </c>
      <c r="C27" s="79">
        <v>97.1</v>
      </c>
      <c r="D27" s="79">
        <v>98.3</v>
      </c>
      <c r="E27" s="79">
        <v>99</v>
      </c>
      <c r="F27" s="79">
        <v>99.2</v>
      </c>
      <c r="G27" s="58"/>
      <c r="H27" s="50" t="s">
        <v>1</v>
      </c>
      <c r="I27" s="79">
        <v>96</v>
      </c>
      <c r="J27" s="79">
        <v>97.1</v>
      </c>
      <c r="K27" s="79">
        <v>98.1</v>
      </c>
      <c r="L27" s="79">
        <v>99</v>
      </c>
      <c r="M27" s="79">
        <v>99.3</v>
      </c>
      <c r="O27" s="1"/>
      <c r="P27" s="81" t="s">
        <v>33</v>
      </c>
      <c r="Q27" s="74" t="s">
        <v>48</v>
      </c>
    </row>
    <row r="28" spans="1:17" ht="12.75">
      <c r="A28" s="50" t="s">
        <v>2</v>
      </c>
      <c r="B28" s="79">
        <v>95.1</v>
      </c>
      <c r="C28" s="79">
        <v>96.3</v>
      </c>
      <c r="D28" s="79">
        <v>97.1</v>
      </c>
      <c r="E28" s="79">
        <v>96.8</v>
      </c>
      <c r="F28" s="79">
        <v>96.8</v>
      </c>
      <c r="G28" s="58"/>
      <c r="H28" s="50" t="s">
        <v>2</v>
      </c>
      <c r="I28" s="79">
        <v>95.3</v>
      </c>
      <c r="J28" s="79">
        <v>96</v>
      </c>
      <c r="K28" s="79">
        <v>97.2</v>
      </c>
      <c r="L28" s="79">
        <v>96.9</v>
      </c>
      <c r="M28" s="79">
        <v>96.1</v>
      </c>
      <c r="O28" s="44" t="s">
        <v>34</v>
      </c>
      <c r="P28" s="28">
        <v>1293</v>
      </c>
      <c r="Q28" s="26">
        <v>3.3</v>
      </c>
    </row>
    <row r="29" spans="1:17" ht="12.75">
      <c r="A29" s="50" t="s">
        <v>3</v>
      </c>
      <c r="B29" s="50">
        <v>4.8</v>
      </c>
      <c r="C29" s="50">
        <v>4.8</v>
      </c>
      <c r="D29" s="50">
        <v>4.8</v>
      </c>
      <c r="E29" s="50">
        <v>4.7</v>
      </c>
      <c r="F29" s="50">
        <v>4.2</v>
      </c>
      <c r="G29" s="58"/>
      <c r="H29" s="50" t="s">
        <v>3</v>
      </c>
      <c r="I29" s="50">
        <v>6.2</v>
      </c>
      <c r="J29" s="50">
        <v>6.2</v>
      </c>
      <c r="K29" s="50">
        <v>6.2</v>
      </c>
      <c r="L29" s="50">
        <v>5.9</v>
      </c>
      <c r="M29" s="50">
        <v>5.3</v>
      </c>
      <c r="O29" s="31" t="s">
        <v>45</v>
      </c>
      <c r="P29" s="27">
        <v>1923</v>
      </c>
      <c r="Q29" s="27">
        <v>4.8</v>
      </c>
    </row>
    <row r="30" spans="1:17" ht="12.75">
      <c r="A30" s="50" t="s">
        <v>4</v>
      </c>
      <c r="B30" s="50">
        <v>3895</v>
      </c>
      <c r="C30" s="50">
        <v>3955</v>
      </c>
      <c r="D30" s="50">
        <v>4014</v>
      </c>
      <c r="E30" s="50">
        <v>4171</v>
      </c>
      <c r="F30" s="50">
        <v>4328</v>
      </c>
      <c r="G30" s="58"/>
      <c r="H30" s="50" t="s">
        <v>4</v>
      </c>
      <c r="I30" s="50"/>
      <c r="J30" s="50"/>
      <c r="K30" s="50"/>
      <c r="L30" s="50"/>
      <c r="M30" s="50"/>
      <c r="O30" s="31" t="s">
        <v>44</v>
      </c>
      <c r="P30" s="27">
        <v>1505</v>
      </c>
      <c r="Q30" s="27">
        <v>4.8</v>
      </c>
    </row>
    <row r="31" spans="1:17" ht="12.75">
      <c r="A31" s="50" t="s">
        <v>41</v>
      </c>
      <c r="B31" s="50">
        <f>2680+1324</f>
        <v>4004</v>
      </c>
      <c r="C31" s="50">
        <f>2726+1324</f>
        <v>4050</v>
      </c>
      <c r="D31" s="50">
        <f>2771+1323</f>
        <v>4094</v>
      </c>
      <c r="E31" s="50">
        <f>2889+2828</f>
        <v>5717</v>
      </c>
      <c r="F31" s="50">
        <f>3007+1505</f>
        <v>4512</v>
      </c>
      <c r="G31" s="58"/>
      <c r="H31" s="50" t="s">
        <v>41</v>
      </c>
      <c r="I31" s="50"/>
      <c r="J31" s="50"/>
      <c r="K31" s="50"/>
      <c r="L31" s="50"/>
      <c r="M31" s="50"/>
      <c r="O31" s="31" t="s">
        <v>42</v>
      </c>
      <c r="P31" s="27">
        <v>1229</v>
      </c>
      <c r="Q31" s="27">
        <v>3.3</v>
      </c>
    </row>
    <row r="32" spans="1:17" ht="12.75">
      <c r="A32" s="50" t="s">
        <v>5</v>
      </c>
      <c r="B32" s="50">
        <v>99</v>
      </c>
      <c r="C32" s="50">
        <v>99</v>
      </c>
      <c r="D32" s="50">
        <v>99</v>
      </c>
      <c r="E32" s="50">
        <v>100</v>
      </c>
      <c r="F32" s="50">
        <v>101</v>
      </c>
      <c r="G32" s="58"/>
      <c r="H32" s="50" t="s">
        <v>5</v>
      </c>
      <c r="I32" s="50"/>
      <c r="J32" s="50"/>
      <c r="K32" s="50"/>
      <c r="L32" s="50"/>
      <c r="M32" s="50"/>
      <c r="O32" s="31" t="s">
        <v>43</v>
      </c>
      <c r="P32" s="27">
        <v>1521</v>
      </c>
      <c r="Q32" s="27">
        <v>4.8</v>
      </c>
    </row>
    <row r="33" spans="1:17" ht="12.75">
      <c r="A33" s="50" t="s">
        <v>10</v>
      </c>
      <c r="B33" s="50" t="s">
        <v>60</v>
      </c>
      <c r="C33" s="50" t="s">
        <v>61</v>
      </c>
      <c r="D33" s="50" t="s">
        <v>61</v>
      </c>
      <c r="E33" s="50" t="s">
        <v>62</v>
      </c>
      <c r="F33" s="50" t="s">
        <v>63</v>
      </c>
      <c r="G33" s="58"/>
      <c r="H33" s="50" t="s">
        <v>10</v>
      </c>
      <c r="I33" s="50"/>
      <c r="J33" s="50"/>
      <c r="K33" s="50"/>
      <c r="L33" s="50"/>
      <c r="M33" s="50"/>
      <c r="O33" s="31" t="s">
        <v>38</v>
      </c>
      <c r="P33" s="27">
        <v>1495</v>
      </c>
      <c r="Q33" s="27">
        <v>3.3</v>
      </c>
    </row>
    <row r="34" spans="1:17" ht="12.75">
      <c r="A34" s="50" t="s">
        <v>6</v>
      </c>
      <c r="B34" s="50">
        <v>138</v>
      </c>
      <c r="C34" s="50">
        <v>137</v>
      </c>
      <c r="D34" s="50">
        <v>136</v>
      </c>
      <c r="E34" s="50">
        <v>135</v>
      </c>
      <c r="F34" s="50">
        <v>134</v>
      </c>
      <c r="G34" s="58"/>
      <c r="H34" s="50" t="s">
        <v>6</v>
      </c>
      <c r="I34" s="50"/>
      <c r="J34" s="50"/>
      <c r="K34" s="50"/>
      <c r="L34" s="50"/>
      <c r="M34" s="50"/>
      <c r="O34" s="82" t="s">
        <v>35</v>
      </c>
      <c r="P34" s="83">
        <v>1178</v>
      </c>
      <c r="Q34" s="27">
        <v>3.3</v>
      </c>
    </row>
    <row r="35" spans="1:17" ht="12.75">
      <c r="A35" s="50" t="s">
        <v>7</v>
      </c>
      <c r="B35" s="50">
        <v>115</v>
      </c>
      <c r="C35" s="50">
        <v>115</v>
      </c>
      <c r="D35" s="50">
        <v>115</v>
      </c>
      <c r="E35" s="50">
        <v>115</v>
      </c>
      <c r="F35" s="50">
        <v>115</v>
      </c>
      <c r="G35" s="58"/>
      <c r="H35" s="50" t="s">
        <v>7</v>
      </c>
      <c r="I35" s="50"/>
      <c r="J35" s="50"/>
      <c r="K35" s="50"/>
      <c r="L35" s="50"/>
      <c r="M35" s="50"/>
      <c r="O35" s="82" t="s">
        <v>70</v>
      </c>
      <c r="P35" s="84">
        <v>1127</v>
      </c>
      <c r="Q35" s="85">
        <v>3.2</v>
      </c>
    </row>
    <row r="36" spans="1:17" ht="12.75">
      <c r="A36" s="50" t="s">
        <v>8</v>
      </c>
      <c r="B36" s="50">
        <v>123</v>
      </c>
      <c r="C36" s="50">
        <v>123</v>
      </c>
      <c r="D36" s="50">
        <v>123</v>
      </c>
      <c r="E36" s="50">
        <v>123</v>
      </c>
      <c r="F36" s="50">
        <v>123</v>
      </c>
      <c r="G36" s="58"/>
      <c r="H36" s="50" t="s">
        <v>8</v>
      </c>
      <c r="I36" s="50">
        <v>133</v>
      </c>
      <c r="J36" s="50">
        <v>133</v>
      </c>
      <c r="K36" s="50">
        <v>133</v>
      </c>
      <c r="L36" s="50">
        <v>133</v>
      </c>
      <c r="M36" s="50">
        <v>133</v>
      </c>
      <c r="O36" s="82" t="s">
        <v>35</v>
      </c>
      <c r="P36" s="84">
        <v>1178</v>
      </c>
      <c r="Q36" s="85">
        <v>3.2</v>
      </c>
    </row>
    <row r="37" spans="1:17" ht="13.5" thickBot="1">
      <c r="A37" s="50" t="s">
        <v>9</v>
      </c>
      <c r="B37" s="50">
        <v>115</v>
      </c>
      <c r="C37" s="50">
        <v>115</v>
      </c>
      <c r="D37" s="50">
        <v>115</v>
      </c>
      <c r="E37" s="50">
        <v>115</v>
      </c>
      <c r="F37" s="50">
        <v>115</v>
      </c>
      <c r="G37" s="58"/>
      <c r="H37" s="50" t="s">
        <v>9</v>
      </c>
      <c r="I37" s="50"/>
      <c r="J37" s="50"/>
      <c r="K37" s="50"/>
      <c r="L37" s="50"/>
      <c r="M37" s="50"/>
      <c r="O37" s="32" t="s">
        <v>71</v>
      </c>
      <c r="P37" s="86">
        <v>2213</v>
      </c>
      <c r="Q37" s="87">
        <v>4.1</v>
      </c>
    </row>
    <row r="38" spans="1:13" ht="12.75">
      <c r="A38" s="49" t="s">
        <v>59</v>
      </c>
      <c r="B38" s="80">
        <v>55</v>
      </c>
      <c r="C38" s="80">
        <v>55</v>
      </c>
      <c r="D38" s="80">
        <v>55</v>
      </c>
      <c r="E38" s="80">
        <v>55</v>
      </c>
      <c r="F38" s="80">
        <v>54</v>
      </c>
      <c r="H38" s="49" t="s">
        <v>59</v>
      </c>
      <c r="I38" s="80">
        <v>54.8</v>
      </c>
      <c r="J38" s="80">
        <v>55</v>
      </c>
      <c r="K38" s="80">
        <v>55</v>
      </c>
      <c r="L38" s="80">
        <v>55</v>
      </c>
      <c r="M38" s="80">
        <v>54</v>
      </c>
    </row>
    <row r="40" spans="1:13" ht="15.75">
      <c r="A40" s="847" t="s">
        <v>58</v>
      </c>
      <c r="B40" s="847"/>
      <c r="C40" s="847"/>
      <c r="D40" s="847"/>
      <c r="E40" s="847"/>
      <c r="F40" s="847"/>
      <c r="G40" s="77"/>
      <c r="H40" s="847" t="s">
        <v>69</v>
      </c>
      <c r="I40" s="847"/>
      <c r="J40" s="847"/>
      <c r="K40" s="847"/>
      <c r="L40" s="847"/>
      <c r="M40" s="847"/>
    </row>
    <row r="41" spans="1:13" ht="12.75">
      <c r="A41" s="80"/>
      <c r="B41" s="80">
        <v>0</v>
      </c>
      <c r="C41" s="80">
        <v>5</v>
      </c>
      <c r="D41" s="80">
        <v>10</v>
      </c>
      <c r="E41" s="80">
        <v>15</v>
      </c>
      <c r="F41" s="80">
        <v>20</v>
      </c>
      <c r="H41" s="80"/>
      <c r="I41" s="80">
        <v>0</v>
      </c>
      <c r="J41" s="80">
        <v>5</v>
      </c>
      <c r="K41" s="80">
        <v>10</v>
      </c>
      <c r="L41" s="80">
        <v>15</v>
      </c>
      <c r="M41" s="80">
        <v>20</v>
      </c>
    </row>
    <row r="42" spans="1:13" ht="12.75">
      <c r="A42" s="50" t="s">
        <v>1</v>
      </c>
      <c r="B42" s="79">
        <v>95.7</v>
      </c>
      <c r="C42" s="79">
        <v>96.5</v>
      </c>
      <c r="D42" s="79">
        <v>97.7</v>
      </c>
      <c r="E42" s="79">
        <v>98.2</v>
      </c>
      <c r="F42" s="79">
        <v>99.2</v>
      </c>
      <c r="G42" s="58"/>
      <c r="H42" s="50" t="s">
        <v>1</v>
      </c>
      <c r="I42" s="79">
        <v>95.5</v>
      </c>
      <c r="J42" s="79">
        <v>96.5</v>
      </c>
      <c r="K42" s="79">
        <v>97.5</v>
      </c>
      <c r="L42" s="79">
        <v>98.3</v>
      </c>
      <c r="M42" s="79">
        <v>99.1</v>
      </c>
    </row>
    <row r="43" spans="1:13" ht="12.75">
      <c r="A43" s="50" t="s">
        <v>2</v>
      </c>
      <c r="B43" s="79">
        <v>94.8</v>
      </c>
      <c r="C43" s="79">
        <v>95.6</v>
      </c>
      <c r="D43" s="79">
        <v>96.7</v>
      </c>
      <c r="E43" s="79">
        <v>96.8</v>
      </c>
      <c r="F43" s="79">
        <v>96.8</v>
      </c>
      <c r="G43" s="58"/>
      <c r="H43" s="50" t="s">
        <v>2</v>
      </c>
      <c r="I43" s="79">
        <v>94.9</v>
      </c>
      <c r="J43" s="79">
        <v>95.5</v>
      </c>
      <c r="K43" s="79">
        <v>96.7</v>
      </c>
      <c r="L43" s="79">
        <v>96.9</v>
      </c>
      <c r="M43" s="79">
        <v>96.1</v>
      </c>
    </row>
    <row r="44" spans="1:13" ht="12.75">
      <c r="A44" s="50" t="s">
        <v>3</v>
      </c>
      <c r="B44" s="50">
        <v>4.8</v>
      </c>
      <c r="C44" s="50">
        <v>4.8</v>
      </c>
      <c r="D44" s="50">
        <v>4.8</v>
      </c>
      <c r="E44" s="50">
        <v>4.8</v>
      </c>
      <c r="F44" s="50">
        <v>4.4</v>
      </c>
      <c r="G44" s="58"/>
      <c r="H44" s="50" t="s">
        <v>3</v>
      </c>
      <c r="I44" s="50">
        <v>6.2</v>
      </c>
      <c r="J44" s="50">
        <v>6.2</v>
      </c>
      <c r="K44" s="50">
        <v>6.2</v>
      </c>
      <c r="L44" s="50">
        <v>6.1</v>
      </c>
      <c r="M44" s="50">
        <v>5.6</v>
      </c>
    </row>
    <row r="45" spans="1:13" ht="12.75">
      <c r="A45" s="50" t="s">
        <v>4</v>
      </c>
      <c r="B45" s="50">
        <v>3838</v>
      </c>
      <c r="C45" s="50">
        <v>3896</v>
      </c>
      <c r="D45" s="50">
        <v>3953</v>
      </c>
      <c r="E45" s="50">
        <v>4072</v>
      </c>
      <c r="F45" s="50">
        <v>4191</v>
      </c>
      <c r="G45" s="58"/>
      <c r="H45" s="50" t="s">
        <v>4</v>
      </c>
      <c r="I45" s="50"/>
      <c r="J45" s="50"/>
      <c r="K45" s="50"/>
      <c r="L45" s="50"/>
      <c r="M45" s="50"/>
    </row>
    <row r="46" spans="1:13" ht="12.75">
      <c r="A46" s="50" t="s">
        <v>41</v>
      </c>
      <c r="B46" s="50">
        <f>2639+1323</f>
        <v>3962</v>
      </c>
      <c r="C46" s="50">
        <f>2683+1322</f>
        <v>4005</v>
      </c>
      <c r="D46" s="50">
        <f>2726+1320</f>
        <v>4046</v>
      </c>
      <c r="E46" s="50">
        <f>2815+1373</f>
        <v>4188</v>
      </c>
      <c r="F46" s="50">
        <f>2903+1426</f>
        <v>4329</v>
      </c>
      <c r="G46" s="58"/>
      <c r="H46" s="50" t="s">
        <v>41</v>
      </c>
      <c r="I46" s="50"/>
      <c r="J46" s="50"/>
      <c r="K46" s="50"/>
      <c r="L46" s="50"/>
      <c r="M46" s="50"/>
    </row>
    <row r="47" spans="1:13" ht="12.75">
      <c r="A47" s="50" t="s">
        <v>5</v>
      </c>
      <c r="B47" s="50">
        <v>99</v>
      </c>
      <c r="C47" s="50">
        <v>99</v>
      </c>
      <c r="D47" s="50">
        <v>99</v>
      </c>
      <c r="E47" s="50">
        <v>100</v>
      </c>
      <c r="F47" s="50">
        <v>101</v>
      </c>
      <c r="G47" s="58"/>
      <c r="H47" s="50" t="s">
        <v>5</v>
      </c>
      <c r="I47" s="50"/>
      <c r="J47" s="50"/>
      <c r="K47" s="50"/>
      <c r="L47" s="50"/>
      <c r="M47" s="50"/>
    </row>
    <row r="48" spans="1:13" ht="12.75">
      <c r="A48" s="50" t="s">
        <v>10</v>
      </c>
      <c r="B48" s="50" t="s">
        <v>64</v>
      </c>
      <c r="C48" s="50" t="s">
        <v>65</v>
      </c>
      <c r="D48" s="50" t="s">
        <v>60</v>
      </c>
      <c r="E48" s="50" t="s">
        <v>67</v>
      </c>
      <c r="F48" s="50" t="s">
        <v>66</v>
      </c>
      <c r="G48" s="58"/>
      <c r="H48" s="50" t="s">
        <v>10</v>
      </c>
      <c r="I48" s="50"/>
      <c r="J48" s="50"/>
      <c r="K48" s="50"/>
      <c r="L48" s="50"/>
      <c r="M48" s="50"/>
    </row>
    <row r="49" spans="1:13" ht="12.75">
      <c r="A49" s="50" t="s">
        <v>6</v>
      </c>
      <c r="B49" s="50">
        <v>139</v>
      </c>
      <c r="C49" s="50">
        <v>138</v>
      </c>
      <c r="D49" s="50">
        <v>137</v>
      </c>
      <c r="E49" s="50">
        <v>136</v>
      </c>
      <c r="F49" s="50">
        <v>135</v>
      </c>
      <c r="G49" s="58"/>
      <c r="H49" s="50" t="s">
        <v>6</v>
      </c>
      <c r="I49" s="50"/>
      <c r="J49" s="50"/>
      <c r="K49" s="50"/>
      <c r="L49" s="50"/>
      <c r="M49" s="50"/>
    </row>
    <row r="50" spans="1:13" ht="12.75">
      <c r="A50" s="50" t="s">
        <v>7</v>
      </c>
      <c r="B50" s="50">
        <v>115</v>
      </c>
      <c r="C50" s="50">
        <v>115</v>
      </c>
      <c r="D50" s="50">
        <v>115</v>
      </c>
      <c r="E50" s="50">
        <v>115</v>
      </c>
      <c r="F50" s="50">
        <v>115</v>
      </c>
      <c r="G50" s="58"/>
      <c r="H50" s="50" t="s">
        <v>7</v>
      </c>
      <c r="I50" s="50"/>
      <c r="J50" s="50"/>
      <c r="K50" s="50"/>
      <c r="L50" s="50"/>
      <c r="M50" s="50"/>
    </row>
    <row r="51" spans="1:13" ht="12.75">
      <c r="A51" s="50" t="s">
        <v>8</v>
      </c>
      <c r="B51" s="50">
        <v>123</v>
      </c>
      <c r="C51" s="50">
        <v>123</v>
      </c>
      <c r="D51" s="50">
        <v>123</v>
      </c>
      <c r="E51" s="50">
        <v>123</v>
      </c>
      <c r="F51" s="50">
        <v>123</v>
      </c>
      <c r="G51" s="58"/>
      <c r="H51" s="50" t="s">
        <v>8</v>
      </c>
      <c r="I51" s="50">
        <v>133</v>
      </c>
      <c r="J51" s="50">
        <v>133</v>
      </c>
      <c r="K51" s="50">
        <v>133</v>
      </c>
      <c r="L51" s="50">
        <v>133</v>
      </c>
      <c r="M51" s="50">
        <v>133</v>
      </c>
    </row>
    <row r="52" spans="1:13" ht="12.75">
      <c r="A52" s="50" t="s">
        <v>9</v>
      </c>
      <c r="B52" s="50">
        <v>115</v>
      </c>
      <c r="C52" s="50">
        <v>115</v>
      </c>
      <c r="D52" s="50">
        <v>115</v>
      </c>
      <c r="E52" s="50">
        <v>115</v>
      </c>
      <c r="F52" s="50">
        <v>115</v>
      </c>
      <c r="G52" s="58"/>
      <c r="H52" s="50" t="s">
        <v>9</v>
      </c>
      <c r="I52" s="50"/>
      <c r="J52" s="50"/>
      <c r="K52" s="50"/>
      <c r="L52" s="50"/>
      <c r="M52" s="50"/>
    </row>
    <row r="53" spans="1:13" ht="12.75">
      <c r="A53" s="49" t="s">
        <v>59</v>
      </c>
      <c r="B53" s="80">
        <v>54</v>
      </c>
      <c r="C53" s="80">
        <v>54</v>
      </c>
      <c r="D53" s="80">
        <v>54</v>
      </c>
      <c r="E53" s="80">
        <v>54</v>
      </c>
      <c r="F53" s="80">
        <v>54</v>
      </c>
      <c r="H53" s="49" t="s">
        <v>59</v>
      </c>
      <c r="I53" s="80">
        <v>54</v>
      </c>
      <c r="J53" s="80">
        <v>54</v>
      </c>
      <c r="K53" s="80">
        <v>54</v>
      </c>
      <c r="L53" s="80">
        <v>54</v>
      </c>
      <c r="M53" s="80">
        <v>54</v>
      </c>
    </row>
  </sheetData>
  <sheetProtection sheet="1" objects="1" scenarios="1"/>
  <mergeCells count="7">
    <mergeCell ref="O26:Q26"/>
    <mergeCell ref="A1:G1"/>
    <mergeCell ref="A25:F25"/>
    <mergeCell ref="A40:F40"/>
    <mergeCell ref="H25:M25"/>
    <mergeCell ref="H40:M40"/>
    <mergeCell ref="I1:N1"/>
  </mergeCells>
  <printOptions/>
  <pageMargins left="0.75" right="0.75" top="1" bottom="1" header="0.5" footer="0.5"/>
  <pageSetup fitToHeight="1" fitToWidth="1" horizontalDpi="1200" verticalDpi="1200" orientation="landscape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L15" sqref="K15:L15"/>
    </sheetView>
  </sheetViews>
  <sheetFormatPr defaultColWidth="9.140625" defaultRowHeight="12.75"/>
  <sheetData>
    <row r="2" spans="2:7" ht="12.75">
      <c r="B2" s="406" t="s">
        <v>83</v>
      </c>
      <c r="C2" s="406" t="s">
        <v>82</v>
      </c>
      <c r="D2" s="406" t="s">
        <v>193</v>
      </c>
      <c r="E2" s="406" t="s">
        <v>194</v>
      </c>
      <c r="F2" s="406" t="s">
        <v>195</v>
      </c>
      <c r="G2" s="406" t="s">
        <v>196</v>
      </c>
    </row>
    <row r="3" spans="1:7" ht="12.75">
      <c r="A3" s="406" t="s">
        <v>185</v>
      </c>
      <c r="B3" s="80">
        <v>21</v>
      </c>
      <c r="C3" s="80">
        <v>22</v>
      </c>
      <c r="D3" s="80">
        <v>141.75</v>
      </c>
      <c r="E3" s="80">
        <v>233.5</v>
      </c>
      <c r="F3" s="80">
        <v>85</v>
      </c>
      <c r="G3" s="80">
        <v>22</v>
      </c>
    </row>
    <row r="4" spans="1:7" ht="12.75">
      <c r="A4" s="406" t="s">
        <v>187</v>
      </c>
      <c r="B4" s="80">
        <v>41</v>
      </c>
      <c r="C4" s="80">
        <v>42</v>
      </c>
      <c r="D4" s="80">
        <v>141.575</v>
      </c>
      <c r="E4" s="80">
        <v>398.05</v>
      </c>
      <c r="F4" s="80">
        <v>78</v>
      </c>
      <c r="G4" s="80">
        <v>15</v>
      </c>
    </row>
    <row r="5" spans="1:7" ht="12.75">
      <c r="A5" s="406" t="s">
        <v>188</v>
      </c>
      <c r="B5" s="80">
        <v>51</v>
      </c>
      <c r="C5" s="80">
        <v>52</v>
      </c>
      <c r="D5" s="80">
        <v>139.975</v>
      </c>
      <c r="E5" s="80">
        <v>235.875</v>
      </c>
      <c r="F5" s="80">
        <v>123</v>
      </c>
      <c r="G5" s="80">
        <v>60</v>
      </c>
    </row>
    <row r="6" spans="1:7" ht="12.75">
      <c r="A6" s="406" t="s">
        <v>186</v>
      </c>
      <c r="B6" s="80">
        <v>31</v>
      </c>
      <c r="C6" s="80">
        <v>32</v>
      </c>
      <c r="D6" s="80">
        <v>141.675</v>
      </c>
      <c r="E6" s="80">
        <v>234.625</v>
      </c>
      <c r="F6" s="80">
        <v>73</v>
      </c>
      <c r="G6" s="80">
        <v>10</v>
      </c>
    </row>
    <row r="7" spans="1:7" ht="12.75">
      <c r="A7" s="406" t="s">
        <v>189</v>
      </c>
      <c r="B7" s="80">
        <v>61</v>
      </c>
      <c r="C7" s="80">
        <v>62</v>
      </c>
      <c r="D7" s="80">
        <v>141.4</v>
      </c>
      <c r="E7" s="80">
        <v>237.075</v>
      </c>
      <c r="F7" s="80">
        <v>126</v>
      </c>
      <c r="G7" s="80">
        <v>63</v>
      </c>
    </row>
    <row r="8" spans="1:7" ht="12.75">
      <c r="A8" s="406" t="s">
        <v>192</v>
      </c>
      <c r="B8" s="80">
        <v>91</v>
      </c>
      <c r="C8" s="80">
        <v>92</v>
      </c>
      <c r="D8" s="80">
        <v>140.45</v>
      </c>
      <c r="E8" s="80">
        <v>225.1</v>
      </c>
      <c r="F8" s="80">
        <v>125</v>
      </c>
      <c r="G8" s="80">
        <v>62</v>
      </c>
    </row>
    <row r="9" spans="1:7" ht="12.75">
      <c r="A9" s="406" t="s">
        <v>184</v>
      </c>
      <c r="B9" s="80">
        <v>11</v>
      </c>
      <c r="C9" s="80">
        <v>12</v>
      </c>
      <c r="D9" s="80">
        <v>138.05</v>
      </c>
      <c r="E9" s="80">
        <v>228.925</v>
      </c>
      <c r="F9" s="80">
        <v>108</v>
      </c>
      <c r="G9" s="80">
        <v>45</v>
      </c>
    </row>
    <row r="10" spans="1:7" ht="12.75">
      <c r="A10" s="406" t="s">
        <v>191</v>
      </c>
      <c r="B10" s="80">
        <v>81</v>
      </c>
      <c r="C10" s="80">
        <v>82</v>
      </c>
      <c r="D10" s="80">
        <v>143.25</v>
      </c>
      <c r="E10" s="80">
        <v>238.175</v>
      </c>
      <c r="F10" s="80">
        <v>121</v>
      </c>
      <c r="G10" s="80">
        <v>58</v>
      </c>
    </row>
    <row r="11" spans="1:7" ht="12.75">
      <c r="A11" s="406" t="s">
        <v>190</v>
      </c>
      <c r="B11" s="80">
        <v>71</v>
      </c>
      <c r="C11" s="80">
        <v>72</v>
      </c>
      <c r="D11" s="80">
        <v>140.5</v>
      </c>
      <c r="E11" s="80">
        <v>239.7</v>
      </c>
      <c r="F11" s="80">
        <v>115</v>
      </c>
      <c r="G11" s="80">
        <v>52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VAFB</Company>
  <HyperlinkBase>www.dansdiversion.com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ALLEN</dc:creator>
  <cp:keywords/>
  <dc:description>Mission Data Card for T-1 Training</dc:description>
  <cp:lastModifiedBy>Dan Allen</cp:lastModifiedBy>
  <cp:lastPrinted>2006-02-14T13:20:54Z</cp:lastPrinted>
  <dcterms:created xsi:type="dcterms:W3CDTF">2002-10-01T19:37:26Z</dcterms:created>
  <dcterms:modified xsi:type="dcterms:W3CDTF">2006-02-15T14:59:16Z</dcterms:modified>
  <cp:category/>
  <cp:version/>
  <cp:contentType/>
  <cp:contentStatus/>
</cp:coreProperties>
</file>